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ppserviceslimited.sharepoint.com/teams/AllActEdStaff/Shared Documents/CP2/2023 materials (in progress)/Course Notes/Other files/"/>
    </mc:Choice>
  </mc:AlternateContent>
  <xr:revisionPtr revIDLastSave="1" documentId="8_{ACA2851F-636F-4C72-B84D-A9AB6FFDDDC3}" xr6:coauthVersionLast="47" xr6:coauthVersionMax="47" xr10:uidLastSave="{8F6FA651-7B8D-4721-8BF3-4E18D398D4B4}"/>
  <bookViews>
    <workbookView xWindow="-120" yWindow="-120" windowWidth="29040" windowHeight="15840" xr2:uid="{00000000-000D-0000-FFFF-FFFF00000000}"/>
  </bookViews>
  <sheets>
    <sheet name="RawData (corrected)" sheetId="10" r:id="rId1"/>
    <sheet name="CleanData" sheetId="9" r:id="rId2"/>
    <sheet name="Parameters" sheetId="4" r:id="rId3"/>
    <sheet name="Scenario1" sheetId="1" r:id="rId4"/>
    <sheet name="Scenario2" sheetId="11" r:id="rId5"/>
    <sheet name="Scenario2 (ret age)" sheetId="15" r:id="rId6"/>
    <sheet name="Scenario3" sheetId="12" r:id="rId7"/>
    <sheet name="Scenario4" sheetId="13" r:id="rId8"/>
    <sheet name="Scenario4 (cont)" sheetId="14" r:id="rId9"/>
    <sheet name="Table" sheetId="5" r:id="rId10"/>
    <sheet name="Graphs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5" l="1"/>
  <c r="D15" i="15"/>
  <c r="A58" i="3"/>
  <c r="A59" i="3"/>
  <c r="A61" i="3"/>
  <c r="A57" i="3"/>
  <c r="C17" i="15"/>
  <c r="B17" i="15"/>
  <c r="A17" i="15"/>
  <c r="D17" i="15" s="1"/>
  <c r="C16" i="15"/>
  <c r="B16" i="15"/>
  <c r="A16" i="15"/>
  <c r="D16" i="15" s="1"/>
  <c r="C15" i="15"/>
  <c r="B15" i="15"/>
  <c r="A15" i="15"/>
  <c r="C14" i="15"/>
  <c r="B14" i="15"/>
  <c r="A14" i="15"/>
  <c r="C13" i="15"/>
  <c r="B13" i="15"/>
  <c r="A13" i="15"/>
  <c r="D13" i="15" s="1"/>
  <c r="C6" i="15"/>
  <c r="C5" i="15"/>
  <c r="C4" i="15"/>
  <c r="C10" i="15" s="1"/>
  <c r="C17" i="14"/>
  <c r="B17" i="14"/>
  <c r="A17" i="14"/>
  <c r="D17" i="14" s="1"/>
  <c r="C16" i="14"/>
  <c r="B16" i="14"/>
  <c r="A16" i="14"/>
  <c r="D16" i="14" s="1"/>
  <c r="D15" i="14"/>
  <c r="C15" i="14"/>
  <c r="B15" i="14"/>
  <c r="A15" i="14"/>
  <c r="C14" i="14"/>
  <c r="B14" i="14"/>
  <c r="A14" i="14"/>
  <c r="D14" i="14" s="1"/>
  <c r="C13" i="14"/>
  <c r="B13" i="14"/>
  <c r="A13" i="14"/>
  <c r="D13" i="14" s="1"/>
  <c r="C6" i="14"/>
  <c r="C5" i="14"/>
  <c r="C4" i="14"/>
  <c r="G15" i="14" s="1"/>
  <c r="C6" i="13"/>
  <c r="C5" i="13"/>
  <c r="C4" i="13"/>
  <c r="C17" i="13"/>
  <c r="B17" i="13"/>
  <c r="A17" i="13"/>
  <c r="D17" i="13" s="1"/>
  <c r="C16" i="13"/>
  <c r="B16" i="13"/>
  <c r="A16" i="13"/>
  <c r="D16" i="13" s="1"/>
  <c r="C15" i="13"/>
  <c r="B15" i="13"/>
  <c r="A15" i="13"/>
  <c r="D15" i="13" s="1"/>
  <c r="C14" i="13"/>
  <c r="B14" i="13"/>
  <c r="A14" i="13"/>
  <c r="D14" i="13" s="1"/>
  <c r="G14" i="13" s="1"/>
  <c r="C13" i="13"/>
  <c r="B13" i="13"/>
  <c r="A13" i="13"/>
  <c r="D13" i="13" s="1"/>
  <c r="D7" i="9"/>
  <c r="D19" i="15" l="1"/>
  <c r="H13" i="13"/>
  <c r="H14" i="13"/>
  <c r="E13" i="14"/>
  <c r="E15" i="14"/>
  <c r="E13" i="15"/>
  <c r="A60" i="3"/>
  <c r="H15" i="14"/>
  <c r="E16" i="14"/>
  <c r="F17" i="14"/>
  <c r="E14" i="14"/>
  <c r="F15" i="14"/>
  <c r="F19" i="14" s="1"/>
  <c r="E17" i="14"/>
  <c r="G14" i="15"/>
  <c r="H14" i="15" s="1"/>
  <c r="F16" i="15"/>
  <c r="F17" i="15"/>
  <c r="F13" i="14"/>
  <c r="G14" i="14"/>
  <c r="H14" i="14" s="1"/>
  <c r="I14" i="14" s="1"/>
  <c r="G17" i="14"/>
  <c r="H17" i="14" s="1"/>
  <c r="F14" i="14"/>
  <c r="G13" i="14"/>
  <c r="H13" i="14" s="1"/>
  <c r="G17" i="15"/>
  <c r="H17" i="15" s="1"/>
  <c r="I17" i="15" s="1"/>
  <c r="F13" i="15"/>
  <c r="F14" i="15"/>
  <c r="E16" i="15"/>
  <c r="E17" i="15"/>
  <c r="G15" i="15"/>
  <c r="H15" i="15" s="1"/>
  <c r="F15" i="15"/>
  <c r="G13" i="15"/>
  <c r="H13" i="15" s="1"/>
  <c r="E14" i="15"/>
  <c r="G16" i="15"/>
  <c r="H16" i="15" s="1"/>
  <c r="I16" i="15" s="1"/>
  <c r="E15" i="15"/>
  <c r="D19" i="14"/>
  <c r="I15" i="14"/>
  <c r="F16" i="14"/>
  <c r="C10" i="14"/>
  <c r="G16" i="14"/>
  <c r="H16" i="14" s="1"/>
  <c r="E14" i="13"/>
  <c r="G13" i="13"/>
  <c r="F17" i="13"/>
  <c r="F13" i="13"/>
  <c r="E15" i="13"/>
  <c r="F14" i="13"/>
  <c r="I14" i="13" s="1"/>
  <c r="G17" i="13"/>
  <c r="H17" i="13" s="1"/>
  <c r="F16" i="13"/>
  <c r="F15" i="13"/>
  <c r="E16" i="13"/>
  <c r="D19" i="13"/>
  <c r="E13" i="13"/>
  <c r="G15" i="13"/>
  <c r="H15" i="13" s="1"/>
  <c r="E17" i="13"/>
  <c r="C10" i="13"/>
  <c r="G16" i="13"/>
  <c r="H16" i="13" s="1"/>
  <c r="I13" i="14" l="1"/>
  <c r="I17" i="14"/>
  <c r="F19" i="15"/>
  <c r="I14" i="15"/>
  <c r="L14" i="15" s="1"/>
  <c r="M14" i="15" s="1"/>
  <c r="L16" i="15"/>
  <c r="M16" i="15" s="1"/>
  <c r="L17" i="15"/>
  <c r="M17" i="15" s="1"/>
  <c r="H19" i="15"/>
  <c r="I15" i="15"/>
  <c r="I13" i="15"/>
  <c r="L17" i="14"/>
  <c r="M17" i="14" s="1"/>
  <c r="L14" i="14"/>
  <c r="M14" i="14" s="1"/>
  <c r="L13" i="14"/>
  <c r="M13" i="14" s="1"/>
  <c r="L15" i="14"/>
  <c r="M15" i="14" s="1"/>
  <c r="H19" i="14"/>
  <c r="I16" i="14"/>
  <c r="I13" i="13"/>
  <c r="H19" i="13"/>
  <c r="I17" i="13"/>
  <c r="I15" i="13"/>
  <c r="L15" i="13"/>
  <c r="M15" i="13" s="1"/>
  <c r="K7" i="5" s="1"/>
  <c r="L14" i="13"/>
  <c r="M14" i="13" s="1"/>
  <c r="K6" i="5" s="1"/>
  <c r="F19" i="13"/>
  <c r="I16" i="13"/>
  <c r="L13" i="13" l="1"/>
  <c r="M13" i="13" s="1"/>
  <c r="K5" i="5" s="1"/>
  <c r="L17" i="13"/>
  <c r="M17" i="13" s="1"/>
  <c r="K9" i="5" s="1"/>
  <c r="L13" i="15"/>
  <c r="M13" i="15" s="1"/>
  <c r="L15" i="15"/>
  <c r="M15" i="15" s="1"/>
  <c r="L16" i="14"/>
  <c r="M16" i="14" s="1"/>
  <c r="L16" i="13"/>
  <c r="M16" i="13" s="1"/>
  <c r="K8" i="5" s="1"/>
  <c r="C6" i="12" l="1"/>
  <c r="C9" i="12" s="1"/>
  <c r="C5" i="12"/>
  <c r="C4" i="12"/>
  <c r="C17" i="12"/>
  <c r="B17" i="12"/>
  <c r="A17" i="12"/>
  <c r="D17" i="12" s="1"/>
  <c r="D16" i="12"/>
  <c r="C16" i="12"/>
  <c r="B16" i="12"/>
  <c r="A16" i="12"/>
  <c r="C15" i="12"/>
  <c r="B15" i="12"/>
  <c r="A15" i="12"/>
  <c r="D15" i="12" s="1"/>
  <c r="C14" i="12"/>
  <c r="B14" i="12"/>
  <c r="A14" i="12"/>
  <c r="D14" i="12" s="1"/>
  <c r="C13" i="12"/>
  <c r="B13" i="12"/>
  <c r="A13" i="12"/>
  <c r="D13" i="12" s="1"/>
  <c r="C6" i="11"/>
  <c r="C5" i="11"/>
  <c r="C4" i="11"/>
  <c r="C10" i="11" s="1"/>
  <c r="D10" i="15" s="1"/>
  <c r="C17" i="11"/>
  <c r="B17" i="11"/>
  <c r="A17" i="11"/>
  <c r="D16" i="11"/>
  <c r="C16" i="11"/>
  <c r="E16" i="11" s="1"/>
  <c r="B16" i="11"/>
  <c r="A16" i="11"/>
  <c r="D15" i="11"/>
  <c r="C15" i="11"/>
  <c r="E15" i="11" s="1"/>
  <c r="B15" i="11"/>
  <c r="A15" i="11"/>
  <c r="D14" i="11"/>
  <c r="G14" i="11" s="1"/>
  <c r="C14" i="11"/>
  <c r="E14" i="11" s="1"/>
  <c r="B14" i="11"/>
  <c r="A14" i="11"/>
  <c r="C13" i="11"/>
  <c r="B13" i="11"/>
  <c r="A13" i="11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D13" i="1" s="1"/>
  <c r="A6" i="3" l="1"/>
  <c r="A23" i="3"/>
  <c r="A7" i="3"/>
  <c r="A24" i="3"/>
  <c r="A8" i="3"/>
  <c r="A25" i="3"/>
  <c r="D17" i="11"/>
  <c r="F17" i="11" s="1"/>
  <c r="A26" i="3"/>
  <c r="D13" i="11"/>
  <c r="A22" i="3"/>
  <c r="A5" i="3"/>
  <c r="C10" i="12"/>
  <c r="A9" i="3"/>
  <c r="E14" i="12"/>
  <c r="G14" i="12"/>
  <c r="H14" i="12" s="1"/>
  <c r="F16" i="12"/>
  <c r="F17" i="12"/>
  <c r="H14" i="11"/>
  <c r="F14" i="12"/>
  <c r="I14" i="12" s="1"/>
  <c r="G15" i="12"/>
  <c r="H15" i="12" s="1"/>
  <c r="E16" i="12"/>
  <c r="G13" i="12"/>
  <c r="H13" i="12" s="1"/>
  <c r="D19" i="12"/>
  <c r="F15" i="12"/>
  <c r="F13" i="12"/>
  <c r="E15" i="12"/>
  <c r="E13" i="12"/>
  <c r="E17" i="12"/>
  <c r="G16" i="12"/>
  <c r="H16" i="12" s="1"/>
  <c r="G17" i="12"/>
  <c r="H17" i="12" s="1"/>
  <c r="I17" i="12" s="1"/>
  <c r="G17" i="11"/>
  <c r="H17" i="11" s="1"/>
  <c r="F14" i="11"/>
  <c r="F15" i="11"/>
  <c r="F16" i="11"/>
  <c r="G13" i="11"/>
  <c r="H13" i="11" s="1"/>
  <c r="D19" i="11"/>
  <c r="F13" i="11"/>
  <c r="E13" i="11"/>
  <c r="G15" i="11"/>
  <c r="H15" i="11" s="1"/>
  <c r="I15" i="11" s="1"/>
  <c r="G16" i="11"/>
  <c r="H16" i="11" s="1"/>
  <c r="E9" i="9"/>
  <c r="D9" i="9"/>
  <c r="C9" i="9"/>
  <c r="B9" i="9"/>
  <c r="E8" i="9"/>
  <c r="D8" i="9"/>
  <c r="C8" i="9"/>
  <c r="C9" i="15" s="1"/>
  <c r="B8" i="9"/>
  <c r="E7" i="9"/>
  <c r="C7" i="9"/>
  <c r="C9" i="11" s="1"/>
  <c r="B7" i="9"/>
  <c r="E6" i="9"/>
  <c r="D6" i="9"/>
  <c r="C6" i="9"/>
  <c r="B6" i="9"/>
  <c r="E5" i="9"/>
  <c r="D5" i="9"/>
  <c r="C5" i="9"/>
  <c r="B5" i="9"/>
  <c r="E10" i="10"/>
  <c r="D10" i="10"/>
  <c r="C10" i="10"/>
  <c r="B10" i="10"/>
  <c r="F9" i="10"/>
  <c r="F8" i="10"/>
  <c r="F7" i="10"/>
  <c r="F6" i="10"/>
  <c r="F5" i="10"/>
  <c r="E17" i="11" l="1"/>
  <c r="C9" i="14"/>
  <c r="C9" i="13"/>
  <c r="D9" i="15"/>
  <c r="J16" i="15"/>
  <c r="J14" i="15"/>
  <c r="J17" i="15"/>
  <c r="J15" i="15"/>
  <c r="J13" i="15"/>
  <c r="I14" i="11"/>
  <c r="L14" i="11" s="1"/>
  <c r="M14" i="11" s="1"/>
  <c r="I16" i="12"/>
  <c r="J16" i="12" s="1"/>
  <c r="I15" i="12"/>
  <c r="L15" i="12" s="1"/>
  <c r="M15" i="12" s="1"/>
  <c r="I7" i="5" s="1"/>
  <c r="L17" i="12"/>
  <c r="M17" i="12" s="1"/>
  <c r="I9" i="5" s="1"/>
  <c r="J17" i="12"/>
  <c r="L16" i="12"/>
  <c r="M16" i="12" s="1"/>
  <c r="I8" i="5" s="1"/>
  <c r="J15" i="12"/>
  <c r="J14" i="12"/>
  <c r="L14" i="12"/>
  <c r="M14" i="12" s="1"/>
  <c r="I6" i="5" s="1"/>
  <c r="I13" i="12"/>
  <c r="F19" i="12"/>
  <c r="H19" i="12"/>
  <c r="H19" i="11"/>
  <c r="I16" i="11"/>
  <c r="L16" i="11" s="1"/>
  <c r="M16" i="11" s="1"/>
  <c r="J15" i="11"/>
  <c r="L15" i="11"/>
  <c r="M15" i="11" s="1"/>
  <c r="I13" i="11"/>
  <c r="F19" i="11"/>
  <c r="J14" i="11"/>
  <c r="I17" i="11"/>
  <c r="F5" i="9"/>
  <c r="F6" i="9"/>
  <c r="F7" i="9"/>
  <c r="F8" i="9"/>
  <c r="F9" i="9"/>
  <c r="B10" i="9"/>
  <c r="C10" i="9"/>
  <c r="D10" i="9"/>
  <c r="E10" i="9"/>
  <c r="J14" i="13" l="1"/>
  <c r="J15" i="13"/>
  <c r="J16" i="13"/>
  <c r="J13" i="13"/>
  <c r="J17" i="13"/>
  <c r="K14" i="15"/>
  <c r="N14" i="15"/>
  <c r="J13" i="14"/>
  <c r="J14" i="14"/>
  <c r="J15" i="14"/>
  <c r="J17" i="14"/>
  <c r="J16" i="14"/>
  <c r="K15" i="15"/>
  <c r="N15" i="15"/>
  <c r="N17" i="15"/>
  <c r="K17" i="15"/>
  <c r="N13" i="15"/>
  <c r="K13" i="15"/>
  <c r="N16" i="15"/>
  <c r="K16" i="15"/>
  <c r="J16" i="11"/>
  <c r="K16" i="11" s="1"/>
  <c r="B25" i="3" s="1"/>
  <c r="C8" i="3"/>
  <c r="G8" i="5"/>
  <c r="C6" i="3"/>
  <c r="G6" i="5"/>
  <c r="G7" i="5"/>
  <c r="C7" i="3"/>
  <c r="N16" i="11"/>
  <c r="K14" i="12"/>
  <c r="N14" i="12"/>
  <c r="K17" i="12"/>
  <c r="N17" i="12"/>
  <c r="K15" i="12"/>
  <c r="B41" i="3" s="1"/>
  <c r="N15" i="12"/>
  <c r="K14" i="11"/>
  <c r="B23" i="3" s="1"/>
  <c r="N14" i="11"/>
  <c r="K15" i="11"/>
  <c r="N15" i="11"/>
  <c r="K16" i="12"/>
  <c r="N16" i="12"/>
  <c r="L13" i="12"/>
  <c r="M13" i="12" s="1"/>
  <c r="I5" i="5" s="1"/>
  <c r="J13" i="12"/>
  <c r="L13" i="11"/>
  <c r="M13" i="11" s="1"/>
  <c r="J13" i="11"/>
  <c r="L17" i="11"/>
  <c r="M17" i="11" s="1"/>
  <c r="J17" i="11"/>
  <c r="C6" i="1"/>
  <c r="C9" i="1" s="1"/>
  <c r="D9" i="13" s="1"/>
  <c r="C5" i="1"/>
  <c r="C4" i="1"/>
  <c r="N17" i="14" l="1"/>
  <c r="K17" i="14"/>
  <c r="K16" i="13"/>
  <c r="N16" i="13"/>
  <c r="B24" i="3"/>
  <c r="B40" i="3"/>
  <c r="O13" i="15"/>
  <c r="C22" i="3"/>
  <c r="K15" i="14"/>
  <c r="N15" i="14"/>
  <c r="O14" i="15"/>
  <c r="C23" i="3"/>
  <c r="N15" i="13"/>
  <c r="K15" i="13"/>
  <c r="O15" i="15"/>
  <c r="C24" i="3"/>
  <c r="N14" i="14"/>
  <c r="K14" i="14"/>
  <c r="K17" i="13"/>
  <c r="N17" i="13"/>
  <c r="N14" i="13"/>
  <c r="K14" i="13"/>
  <c r="O16" i="15"/>
  <c r="C25" i="3"/>
  <c r="O17" i="15"/>
  <c r="C26" i="3"/>
  <c r="K16" i="14"/>
  <c r="N16" i="14"/>
  <c r="N13" i="14"/>
  <c r="K13" i="14"/>
  <c r="K13" i="13"/>
  <c r="N13" i="13"/>
  <c r="C5" i="3"/>
  <c r="G5" i="5"/>
  <c r="C9" i="3"/>
  <c r="G9" i="5"/>
  <c r="K13" i="12"/>
  <c r="N13" i="12"/>
  <c r="B7" i="3"/>
  <c r="O15" i="11"/>
  <c r="F7" i="5"/>
  <c r="O15" i="12"/>
  <c r="H7" i="5"/>
  <c r="O14" i="12"/>
  <c r="H6" i="5"/>
  <c r="K17" i="11"/>
  <c r="B26" i="3" s="1"/>
  <c r="N17" i="11"/>
  <c r="K13" i="11"/>
  <c r="B22" i="3" s="1"/>
  <c r="N13" i="11"/>
  <c r="D9" i="11"/>
  <c r="D9" i="12"/>
  <c r="H8" i="5"/>
  <c r="O16" i="12"/>
  <c r="O14" i="11"/>
  <c r="F6" i="5"/>
  <c r="B6" i="3"/>
  <c r="O17" i="12"/>
  <c r="H9" i="5"/>
  <c r="O16" i="11"/>
  <c r="B8" i="3"/>
  <c r="F8" i="5"/>
  <c r="G13" i="1"/>
  <c r="H13" i="1" s="1"/>
  <c r="F13" i="1"/>
  <c r="C10" i="1"/>
  <c r="D10" i="13" s="1"/>
  <c r="O13" i="13" l="1"/>
  <c r="J5" i="5"/>
  <c r="C57" i="3"/>
  <c r="O16" i="14"/>
  <c r="P16" i="14"/>
  <c r="B60" i="3"/>
  <c r="O13" i="14"/>
  <c r="P13" i="14"/>
  <c r="B57" i="3"/>
  <c r="O14" i="13"/>
  <c r="J6" i="5"/>
  <c r="C58" i="3"/>
  <c r="O14" i="14"/>
  <c r="P14" i="14"/>
  <c r="B58" i="3"/>
  <c r="O15" i="13"/>
  <c r="J7" i="5"/>
  <c r="C59" i="3"/>
  <c r="B42" i="3"/>
  <c r="O17" i="14"/>
  <c r="B61" i="3"/>
  <c r="P17" i="14"/>
  <c r="C61" i="3"/>
  <c r="J9" i="5"/>
  <c r="O17" i="13"/>
  <c r="O16" i="13"/>
  <c r="J8" i="5"/>
  <c r="C60" i="3"/>
  <c r="O15" i="14"/>
  <c r="P15" i="14"/>
  <c r="B59" i="3"/>
  <c r="D10" i="11"/>
  <c r="D10" i="12"/>
  <c r="F5" i="5"/>
  <c r="B5" i="3"/>
  <c r="O13" i="11"/>
  <c r="F9" i="5"/>
  <c r="O17" i="11"/>
  <c r="B9" i="3"/>
  <c r="O13" i="12"/>
  <c r="H5" i="5"/>
  <c r="I13" i="1"/>
  <c r="L13" i="1" l="1"/>
  <c r="J13" i="1"/>
  <c r="D17" i="1"/>
  <c r="G17" i="1" s="1"/>
  <c r="H17" i="1" s="1"/>
  <c r="D16" i="1"/>
  <c r="G16" i="1" s="1"/>
  <c r="H16" i="1" s="1"/>
  <c r="D15" i="1"/>
  <c r="G15" i="1" s="1"/>
  <c r="H15" i="1" s="1"/>
  <c r="D14" i="1"/>
  <c r="G14" i="1" s="1"/>
  <c r="H14" i="1" s="1"/>
  <c r="N13" i="1" l="1"/>
  <c r="H19" i="1"/>
  <c r="F15" i="1"/>
  <c r="I15" i="1" s="1"/>
  <c r="F17" i="1"/>
  <c r="I17" i="1" s="1"/>
  <c r="F14" i="1"/>
  <c r="F16" i="1"/>
  <c r="I16" i="1" s="1"/>
  <c r="D19" i="1"/>
  <c r="E13" i="1"/>
  <c r="K13" i="1" s="1"/>
  <c r="E17" i="1"/>
  <c r="E14" i="1"/>
  <c r="E15" i="1"/>
  <c r="E16" i="1"/>
  <c r="D5" i="5" l="1"/>
  <c r="M13" i="1"/>
  <c r="E5" i="5" s="1"/>
  <c r="I14" i="1"/>
  <c r="L14" i="1" s="1"/>
  <c r="M14" i="1" s="1"/>
  <c r="E6" i="5" s="1"/>
  <c r="F19" i="1"/>
  <c r="J16" i="1"/>
  <c r="L16" i="1"/>
  <c r="M16" i="1" s="1"/>
  <c r="E8" i="5" s="1"/>
  <c r="J17" i="1"/>
  <c r="L17" i="1"/>
  <c r="M17" i="1" s="1"/>
  <c r="E9" i="5" s="1"/>
  <c r="J15" i="1"/>
  <c r="L15" i="1"/>
  <c r="M15" i="1" s="1"/>
  <c r="E7" i="5" s="1"/>
  <c r="J14" i="1" l="1"/>
  <c r="O13" i="1"/>
  <c r="K17" i="1"/>
  <c r="N17" i="1"/>
  <c r="K15" i="1"/>
  <c r="B39" i="3" s="1"/>
  <c r="N15" i="1"/>
  <c r="K16" i="1"/>
  <c r="N16" i="1"/>
  <c r="K14" i="1"/>
  <c r="N14" i="1"/>
  <c r="D6" i="5" l="1"/>
  <c r="O14" i="1"/>
  <c r="D7" i="5"/>
  <c r="O15" i="1"/>
  <c r="D8" i="5"/>
  <c r="O16" i="1"/>
  <c r="D9" i="5"/>
  <c r="O17" i="1"/>
</calcChain>
</file>

<file path=xl/sharedStrings.xml><?xml version="1.0" encoding="utf-8"?>
<sst xmlns="http://schemas.openxmlformats.org/spreadsheetml/2006/main" count="229" uniqueCount="65">
  <si>
    <t>Age</t>
  </si>
  <si>
    <t>Inflation</t>
  </si>
  <si>
    <t>Contribution rate</t>
  </si>
  <si>
    <t>Investment return</t>
  </si>
  <si>
    <t>Salary increases</t>
  </si>
  <si>
    <t>Annuity factor</t>
  </si>
  <si>
    <t>Annuity</t>
  </si>
  <si>
    <t>Drawdown</t>
  </si>
  <si>
    <t>AGE</t>
  </si>
  <si>
    <t>Investment return (i)</t>
  </si>
  <si>
    <t>Salary increases (j)</t>
  </si>
  <si>
    <t>Inflation (k)</t>
  </si>
  <si>
    <t>Scenario 1</t>
  </si>
  <si>
    <t>Scenario 2</t>
  </si>
  <si>
    <t>Scenario 3</t>
  </si>
  <si>
    <t>CHECKS</t>
  </si>
  <si>
    <t>OTHER PARAMETERS</t>
  </si>
  <si>
    <t>SCENARIO 1</t>
  </si>
  <si>
    <t>SCENARIO 2</t>
  </si>
  <si>
    <t>SCENARIO 3</t>
  </si>
  <si>
    <t>VARIABLES</t>
  </si>
  <si>
    <t>SCENARIOS</t>
  </si>
  <si>
    <t>ANNUITY FACTORS</t>
  </si>
  <si>
    <t>TABLE</t>
  </si>
  <si>
    <t>PARAMETERS</t>
  </si>
  <si>
    <t>RAW DATA</t>
  </si>
  <si>
    <t>CLEAN DATA</t>
  </si>
  <si>
    <r>
      <t xml:space="preserve">Retirement age ( 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</si>
  <si>
    <r>
      <t xml:space="preserve">Maximum age ( 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)</t>
    </r>
  </si>
  <si>
    <t>FACTORS</t>
  </si>
  <si>
    <t>EMPLOYEE PROFILES</t>
  </si>
  <si>
    <t>n (years to retirement)</t>
  </si>
  <si>
    <t>Drawdown annuity factor</t>
  </si>
  <si>
    <t>% of final salary</t>
  </si>
  <si>
    <t>Future contributions factor</t>
  </si>
  <si>
    <t>Checks</t>
  </si>
  <si>
    <t>Income vs annuity</t>
  </si>
  <si>
    <t>% of final salary vs annuity</t>
  </si>
  <si>
    <t>(OK, driven by high inv return outweighing higher current value)</t>
  </si>
  <si>
    <t>Scenario 4</t>
  </si>
  <si>
    <t>Contribution rate (stress)</t>
  </si>
  <si>
    <t>Retirement age (R stressed)</t>
  </si>
  <si>
    <t>Age 65</t>
  </si>
  <si>
    <t>Age 70</t>
  </si>
  <si>
    <t>Annuity pension as percentage of salary</t>
  </si>
  <si>
    <t>Scenario</t>
  </si>
  <si>
    <t>Percentage of salary</t>
  </si>
  <si>
    <t>Pension as percentage of salary (Scenario 2)</t>
  </si>
  <si>
    <t>Annuity pension as a percentage of salary for Scenario 2</t>
  </si>
  <si>
    <t>Percentage of salary for 40-year-old by scenario</t>
  </si>
  <si>
    <t>Impact of reduction in contribution rate on annuity percentage for scenario 4</t>
  </si>
  <si>
    <t>% final salary &lt; Scenario 4</t>
  </si>
  <si>
    <t>SCENARIO 4</t>
  </si>
  <si>
    <t>GRAPHS</t>
  </si>
  <si>
    <t>SCENARIO 2 (retirement age 70)</t>
  </si>
  <si>
    <t>SCENARIO 4 (10% conts)</t>
  </si>
  <si>
    <t>Fund now ($K)</t>
  </si>
  <si>
    <t>Salary ($K)</t>
  </si>
  <si>
    <t>Fund Now ($k)</t>
  </si>
  <si>
    <t>Salary ($k)</t>
  </si>
  <si>
    <t>Final Salary ($k)</t>
  </si>
  <si>
    <t>Fund value at retirement ($k)</t>
  </si>
  <si>
    <t>Value of future contributions at retirement ($k)</t>
  </si>
  <si>
    <t>Total retirement fund ($k)</t>
  </si>
  <si>
    <t>Income ($k)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</si>
</sst>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2"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1" fillId="0" borderId="0" xfId="0" applyFont="1"/>
    <xf numFmtId="2" fontId="1" fillId="0" borderId="0" xfId="0" applyNumberFormat="1" applyFont="1"/>
    <xf numFmtId="1" fontId="1" fillId="0" borderId="0" xfId="0" applyNumberFormat="1" applyFont="1"/>
    <xf numFmtId="9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9" fontId="2" fillId="0" borderId="0" xfId="0" applyNumberFormat="1" applyFont="1"/>
    <xf numFmtId="0" fontId="0" fillId="2" borderId="0" xfId="0" applyFill="1"/>
    <xf numFmtId="9" fontId="0" fillId="2" borderId="0" xfId="0" applyNumberFormat="1" applyFill="1" applyAlignment="1">
      <alignment horizontal="center"/>
    </xf>
    <xf numFmtId="9" fontId="0" fillId="2" borderId="0" xfId="0" applyNumberFormat="1" applyFill="1"/>
    <xf numFmtId="0" fontId="2" fillId="0" borderId="0" xfId="0" applyFont="1" applyAlignment="1">
      <alignment horizontal="centerContinuous"/>
    </xf>
    <xf numFmtId="0" fontId="3" fillId="3" borderId="0" xfId="0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0" fillId="0" borderId="0" xfId="0" applyAlignment="1">
      <alignment horizontal="centerContinuous"/>
    </xf>
    <xf numFmtId="2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9" fontId="0" fillId="0" borderId="0" xfId="1" applyFont="1"/>
    <xf numFmtId="0" fontId="1" fillId="0" borderId="0" xfId="0" applyFont="1" applyAlignment="1">
      <alignment horizontal="right" wrapText="1"/>
    </xf>
    <xf numFmtId="165" fontId="0" fillId="2" borderId="0" xfId="0" applyNumberFormat="1" applyFill="1" applyAlignment="1">
      <alignment horizontal="center"/>
    </xf>
    <xf numFmtId="165" fontId="0" fillId="0" borderId="0" xfId="0" applyNumberFormat="1"/>
    <xf numFmtId="9" fontId="0" fillId="0" borderId="0" xfId="0" applyNumberFormat="1" applyFont="1"/>
    <xf numFmtId="0" fontId="2" fillId="4" borderId="0" xfId="0" applyFont="1" applyFill="1" applyAlignment="1">
      <alignment horizontal="right" wrapText="1"/>
    </xf>
    <xf numFmtId="2" fontId="0" fillId="4" borderId="0" xfId="0" applyNumberFormat="1" applyFill="1"/>
    <xf numFmtId="0" fontId="1" fillId="4" borderId="0" xfId="0" applyFont="1" applyFill="1" applyAlignment="1">
      <alignment horizontal="right" wrapText="1"/>
    </xf>
    <xf numFmtId="1" fontId="1" fillId="4" borderId="0" xfId="0" applyNumberFormat="1" applyFont="1" applyFill="1"/>
    <xf numFmtId="0" fontId="0" fillId="4" borderId="0" xfId="0" applyFill="1"/>
    <xf numFmtId="2" fontId="1" fillId="4" borderId="0" xfId="0" applyNumberFormat="1" applyFont="1" applyFill="1" applyAlignment="1">
      <alignment horizontal="right"/>
    </xf>
    <xf numFmtId="0" fontId="0" fillId="0" borderId="0" xfId="0" applyFill="1"/>
    <xf numFmtId="9" fontId="2" fillId="0" borderId="0" xfId="0" applyNumberFormat="1" applyFont="1" applyFill="1"/>
    <xf numFmtId="0" fontId="2" fillId="0" borderId="0" xfId="0" applyFont="1" applyFill="1" applyAlignment="1">
      <alignment horizontal="right" wrapText="1"/>
    </xf>
    <xf numFmtId="2" fontId="0" fillId="0" borderId="0" xfId="0" applyNumberFormat="1" applyFill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Pension</a:t>
            </a:r>
            <a:r>
              <a:rPr lang="en-GB" sz="1400" baseline="0"/>
              <a:t> as percentage of salary (Scenario 2)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Annuity</c:v>
          </c:tx>
          <c:invertIfNegative val="0"/>
          <c:cat>
            <c:numRef>
              <c:f>Scenario1!$A$13:$A$17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</c:numCache>
            </c:numRef>
          </c:cat>
          <c:val>
            <c:numRef>
              <c:f>Graphs!$B$5:$B$9</c:f>
              <c:numCache>
                <c:formatCode>0%</c:formatCode>
                <c:ptCount val="5"/>
                <c:pt idx="0">
                  <c:v>0.6197708121496176</c:v>
                </c:pt>
                <c:pt idx="1">
                  <c:v>0.47781075149889568</c:v>
                </c:pt>
                <c:pt idx="2">
                  <c:v>0.35579036032652567</c:v>
                </c:pt>
                <c:pt idx="3">
                  <c:v>0.26036133387623023</c:v>
                </c:pt>
                <c:pt idx="4">
                  <c:v>0.20368991474804393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2-46C7-A337-77569F8D0E49}"/>
            </c:ext>
          </c:extLst>
        </c:ser>
        <c:ser>
          <c:idx val="1"/>
          <c:order val="1"/>
          <c:tx>
            <c:v>Drawdown</c:v>
          </c:tx>
          <c:invertIfNegative val="0"/>
          <c:val>
            <c:numRef>
              <c:f>Graphs!$C$5:$C$9</c:f>
              <c:numCache>
                <c:formatCode>0%</c:formatCode>
                <c:ptCount val="5"/>
                <c:pt idx="0">
                  <c:v>0.65876123005553866</c:v>
                </c:pt>
                <c:pt idx="1">
                  <c:v>0.50787031628586521</c:v>
                </c:pt>
                <c:pt idx="2">
                  <c:v>0.37817349706688674</c:v>
                </c:pt>
                <c:pt idx="3">
                  <c:v>0.27674093261720256</c:v>
                </c:pt>
                <c:pt idx="4">
                  <c:v>0.21650425634587067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2-46C7-A337-77569F8D0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27456"/>
        <c:axId val="119429376"/>
      </c:barChart>
      <c:catAx>
        <c:axId val="11942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429376"/>
        <c:crosses val="autoZero"/>
        <c:auto val="1"/>
        <c:lblAlgn val="ctr"/>
        <c:lblOffset val="100"/>
        <c:noMultiLvlLbl val="0"/>
      </c:catAx>
      <c:valAx>
        <c:axId val="119429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Percentage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19427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Annuity pension as a percentage</a:t>
            </a:r>
            <a:r>
              <a:rPr lang="en-GB" sz="1400" baseline="0"/>
              <a:t> of salary (Scenario 2) by stressing retirement age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Graphs!$B$21</c:f>
              <c:strCache>
                <c:ptCount val="1"/>
                <c:pt idx="0">
                  <c:v>Age 65</c:v>
                </c:pt>
              </c:strCache>
            </c:strRef>
          </c:tx>
          <c:invertIfNegative val="0"/>
          <c:cat>
            <c:numRef>
              <c:f>Scenario1!$A$13:$A$17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</c:numCache>
            </c:numRef>
          </c:cat>
          <c:val>
            <c:numRef>
              <c:f>Graphs!$B$22:$B$26</c:f>
              <c:numCache>
                <c:formatCode>0%</c:formatCode>
                <c:ptCount val="5"/>
                <c:pt idx="0">
                  <c:v>0.6197708121496176</c:v>
                </c:pt>
                <c:pt idx="1">
                  <c:v>0.47781075149889568</c:v>
                </c:pt>
                <c:pt idx="2">
                  <c:v>0.35579036032652567</c:v>
                </c:pt>
                <c:pt idx="3">
                  <c:v>0.26036133387623023</c:v>
                </c:pt>
                <c:pt idx="4">
                  <c:v>0.20368991474804393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3-4BBF-9FA1-80A929494757}"/>
            </c:ext>
          </c:extLst>
        </c:ser>
        <c:ser>
          <c:idx val="1"/>
          <c:order val="1"/>
          <c:tx>
            <c:strRef>
              <c:f>Graphs!$C$21</c:f>
              <c:strCache>
                <c:ptCount val="1"/>
                <c:pt idx="0">
                  <c:v>Age 70</c:v>
                </c:pt>
              </c:strCache>
            </c:strRef>
          </c:tx>
          <c:invertIfNegative val="0"/>
          <c:val>
            <c:numRef>
              <c:f>Graphs!$C$22:$C$26</c:f>
              <c:numCache>
                <c:formatCode>0%</c:formatCode>
                <c:ptCount val="5"/>
                <c:pt idx="0">
                  <c:v>0.80101185182674883</c:v>
                </c:pt>
                <c:pt idx="1">
                  <c:v>0.62905441325001521</c:v>
                </c:pt>
                <c:pt idx="2">
                  <c:v>0.48125006726740416</c:v>
                </c:pt>
                <c:pt idx="3">
                  <c:v>0.36565606935669098</c:v>
                </c:pt>
                <c:pt idx="4">
                  <c:v>0.29700949348794625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B3-4BBF-9FA1-80A92949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27456"/>
        <c:axId val="119429376"/>
      </c:barChart>
      <c:catAx>
        <c:axId val="11942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429376"/>
        <c:crosses val="autoZero"/>
        <c:auto val="1"/>
        <c:lblAlgn val="ctr"/>
        <c:lblOffset val="100"/>
        <c:noMultiLvlLbl val="0"/>
      </c:catAx>
      <c:valAx>
        <c:axId val="119429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Percentage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19427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chemeClr val="tx1"/>
                </a:solidFill>
              </a:rPr>
              <a:t>Annuity pension as percentage of salary for a 40-year-old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Graphs!$B$38</c:f>
              <c:strCache>
                <c:ptCount val="1"/>
                <c:pt idx="0">
                  <c:v>Percentage of salary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CD-49D9-8EAC-0CE4EA021CF4}"/>
                </c:ext>
              </c:extLst>
            </c:dLbl>
            <c:dLbl>
              <c:idx val="1"/>
              <c:layout>
                <c:manualLayout>
                  <c:x val="0"/>
                  <c:y val="8.796296296296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CD-49D9-8EAC-0CE4EA021CF4}"/>
                </c:ext>
              </c:extLst>
            </c:dLbl>
            <c:dLbl>
              <c:idx val="2"/>
              <c:layout>
                <c:manualLayout>
                  <c:x val="-1.0185067526415994E-16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CD-49D9-8EAC-0CE4EA021CF4}"/>
                </c:ext>
              </c:extLst>
            </c:dLbl>
            <c:dLbl>
              <c:idx val="3"/>
              <c:layout>
                <c:manualLayout>
                  <c:x val="-1.0185067526415994E-16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CD-49D9-8EAC-0CE4EA021C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Graphs!$B$39:$B$42</c:f>
              <c:numCache>
                <c:formatCode>0%</c:formatCode>
                <c:ptCount val="4"/>
                <c:pt idx="0">
                  <c:v>0.28165187191997065</c:v>
                </c:pt>
                <c:pt idx="1">
                  <c:v>0.35579036032652567</c:v>
                </c:pt>
                <c:pt idx="2">
                  <c:v>0.45608414192801294</c:v>
                </c:pt>
                <c:pt idx="3">
                  <c:v>0.26148933321223583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CD-49D9-8EAC-0CE4EA02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9590095"/>
        <c:axId val="719582607"/>
      </c:barChart>
      <c:catAx>
        <c:axId val="7195900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 baseline="0">
                    <a:solidFill>
                      <a:schemeClr val="tx1"/>
                    </a:solidFill>
                  </a:rPr>
                  <a:t>Scenario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582607"/>
        <c:crosses val="autoZero"/>
        <c:auto val="1"/>
        <c:lblAlgn val="ctr"/>
        <c:lblOffset val="100"/>
        <c:noMultiLvlLbl val="0"/>
      </c:catAx>
      <c:valAx>
        <c:axId val="71958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 baseline="0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590095"/>
        <c:crosses val="autoZero"/>
        <c:crossBetween val="between"/>
        <c:majorUnit val="0.1"/>
      </c:valAx>
      <c:spPr>
        <a:noFill/>
        <a:ln>
          <a:solidFill>
            <a:srgbClr val="868686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Annuity pension as a percentage</a:t>
            </a:r>
            <a:r>
              <a:rPr lang="en-GB" sz="1400" baseline="0"/>
              <a:t> of salary for Scenario 4 (by contribution rate)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Graphs!$B$56</c:f>
              <c:strCache>
                <c:ptCount val="1"/>
                <c:pt idx="0">
                  <c:v>10%</c:v>
                </c:pt>
              </c:strCache>
            </c:strRef>
          </c:tx>
          <c:invertIfNegative val="0"/>
          <c:cat>
            <c:numRef>
              <c:f>Scenario1!$A$13:$A$17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</c:numCache>
            </c:numRef>
          </c:cat>
          <c:val>
            <c:numRef>
              <c:f>Graphs!$B$57:$B$61</c:f>
              <c:numCache>
                <c:formatCode>0%</c:formatCode>
                <c:ptCount val="5"/>
                <c:pt idx="0">
                  <c:v>0.26712820380388919</c:v>
                </c:pt>
                <c:pt idx="1">
                  <c:v>0.22769654463422426</c:v>
                </c:pt>
                <c:pt idx="2">
                  <c:v>0.19094461161002937</c:v>
                </c:pt>
                <c:pt idx="3">
                  <c:v>0.16393354389377712</c:v>
                </c:pt>
                <c:pt idx="4">
                  <c:v>0.1624139624044153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8-4DBF-A138-F3FADC4EC68C}"/>
            </c:ext>
          </c:extLst>
        </c:ser>
        <c:ser>
          <c:idx val="1"/>
          <c:order val="1"/>
          <c:tx>
            <c:strRef>
              <c:f>Graphs!$C$56</c:f>
              <c:strCache>
                <c:ptCount val="1"/>
                <c:pt idx="0">
                  <c:v>15%</c:v>
                </c:pt>
              </c:strCache>
            </c:strRef>
          </c:tx>
          <c:invertIfNegative val="0"/>
          <c:val>
            <c:numRef>
              <c:f>Graphs!$C$57:$C$61</c:f>
              <c:numCache>
                <c:formatCode>0%</c:formatCode>
                <c:ptCount val="5"/>
                <c:pt idx="0">
                  <c:v>0.40069230570583375</c:v>
                </c:pt>
                <c:pt idx="1">
                  <c:v>0.32897691672057383</c:v>
                </c:pt>
                <c:pt idx="2">
                  <c:v>0.26148933321223583</c:v>
                </c:pt>
                <c:pt idx="3">
                  <c:v>0.2052164603675356</c:v>
                </c:pt>
                <c:pt idx="4">
                  <c:v>0.17583824482007848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8-4DBF-A138-F3FADC4E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27456"/>
        <c:axId val="119429376"/>
      </c:barChart>
      <c:catAx>
        <c:axId val="11942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429376"/>
        <c:crosses val="autoZero"/>
        <c:auto val="1"/>
        <c:lblAlgn val="ctr"/>
        <c:lblOffset val="100"/>
        <c:noMultiLvlLbl val="0"/>
      </c:catAx>
      <c:valAx>
        <c:axId val="119429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Percentage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19427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304800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11</xdr:col>
      <xdr:colOff>304800</xdr:colOff>
      <xdr:row>34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D58A01-C6E0-4142-A930-51A252F30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276225</xdr:colOff>
      <xdr:row>35</xdr:row>
      <xdr:rowOff>4762</xdr:rowOff>
    </xdr:from>
    <xdr:to>
      <xdr:col>11</xdr:col>
      <xdr:colOff>209550</xdr:colOff>
      <xdr:row>49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39EA0A-5158-466F-95C9-D8BF11FD5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561975</xdr:colOff>
      <xdr:row>53</xdr:row>
      <xdr:rowOff>123825</xdr:rowOff>
    </xdr:from>
    <xdr:to>
      <xdr:col>12</xdr:col>
      <xdr:colOff>257175</xdr:colOff>
      <xdr:row>68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AFFCC14-CE8D-4688-A5BE-A8F3ABBA3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0"/>
  <sheetViews>
    <sheetView tabSelected="1" workbookViewId="0">
      <selection activeCell="A2" sqref="A2"/>
    </sheetView>
  </sheetViews>
  <sheetFormatPr defaultRowHeight="15" x14ac:dyDescent="0.25"/>
  <cols>
    <col min="1" max="1" width="8.85546875" customWidth="1"/>
  </cols>
  <sheetData>
    <row r="1" spans="1:6" x14ac:dyDescent="0.25">
      <c r="A1" s="16" t="s">
        <v>25</v>
      </c>
      <c r="B1" s="16"/>
    </row>
    <row r="3" spans="1:6" x14ac:dyDescent="0.25">
      <c r="B3" s="9"/>
      <c r="C3" s="9" t="s">
        <v>22</v>
      </c>
      <c r="D3" s="9"/>
      <c r="E3" s="9"/>
    </row>
    <row r="4" spans="1:6" x14ac:dyDescent="0.25">
      <c r="A4" s="2" t="s">
        <v>8</v>
      </c>
      <c r="B4" s="11">
        <v>0.02</v>
      </c>
      <c r="C4" s="11">
        <v>0.03</v>
      </c>
      <c r="D4" s="11">
        <v>0.04</v>
      </c>
      <c r="E4" s="11">
        <v>0.05</v>
      </c>
      <c r="F4" s="5" t="s">
        <v>15</v>
      </c>
    </row>
    <row r="5" spans="1:6" x14ac:dyDescent="0.25">
      <c r="A5" s="9">
        <v>55</v>
      </c>
      <c r="B5" s="18">
        <v>22.4</v>
      </c>
      <c r="C5" s="18">
        <v>20.5</v>
      </c>
      <c r="D5" s="18">
        <v>18.7</v>
      </c>
      <c r="E5" s="18">
        <v>16.899999999999999</v>
      </c>
      <c r="F5" s="5" t="str">
        <f>IF(AND(B5&gt;C5,C5&gt;D5,D5&gt;E5),"OK","Error!")</f>
        <v>OK</v>
      </c>
    </row>
    <row r="6" spans="1:6" x14ac:dyDescent="0.25">
      <c r="A6" s="9">
        <v>60</v>
      </c>
      <c r="B6" s="18">
        <v>20.6</v>
      </c>
      <c r="C6" s="18">
        <v>19</v>
      </c>
      <c r="D6" s="18">
        <v>17.3</v>
      </c>
      <c r="E6" s="18">
        <v>15.6</v>
      </c>
      <c r="F6" s="5" t="str">
        <f>IF(AND(B6&gt;C6,C6&gt;D6,D6&gt;E6),"OK","Error!")</f>
        <v>OK</v>
      </c>
    </row>
    <row r="7" spans="1:6" x14ac:dyDescent="0.25">
      <c r="A7" s="9">
        <v>65</v>
      </c>
      <c r="B7" s="18">
        <v>18.899999999999999</v>
      </c>
      <c r="C7" s="18">
        <v>17.399999999999999</v>
      </c>
      <c r="D7" s="18">
        <v>15.8</v>
      </c>
      <c r="E7" s="18">
        <v>14.3</v>
      </c>
      <c r="F7" s="5" t="str">
        <f>IF(AND(B7&gt;C7,C7&gt;D7,D7&gt;E7),"OK","Error!")</f>
        <v>OK</v>
      </c>
    </row>
    <row r="8" spans="1:6" x14ac:dyDescent="0.25">
      <c r="A8" s="9">
        <v>70</v>
      </c>
      <c r="B8" s="18">
        <v>17.2</v>
      </c>
      <c r="C8" s="18">
        <v>15.8</v>
      </c>
      <c r="D8" s="18">
        <v>14.4</v>
      </c>
      <c r="E8" s="18">
        <v>13</v>
      </c>
      <c r="F8" s="5" t="str">
        <f>IF(AND(B8&gt;C8,C8&gt;D8,D8&gt;E8),"OK","Error!")</f>
        <v>OK</v>
      </c>
    </row>
    <row r="9" spans="1:6" x14ac:dyDescent="0.25">
      <c r="A9" s="9">
        <v>75</v>
      </c>
      <c r="B9" s="18">
        <v>15.5</v>
      </c>
      <c r="C9" s="18">
        <v>14.2</v>
      </c>
      <c r="D9" s="18">
        <v>13</v>
      </c>
      <c r="E9" s="18">
        <v>11.7</v>
      </c>
      <c r="F9" s="5" t="str">
        <f>IF(AND(B9&gt;C9,C9&gt;D9,D9&gt;E9),"OK","Error!")</f>
        <v>OK</v>
      </c>
    </row>
    <row r="10" spans="1:6" x14ac:dyDescent="0.25">
      <c r="A10" s="10" t="s">
        <v>15</v>
      </c>
      <c r="B10" s="10" t="str">
        <f>IF(AND(B5&gt;B6,B6&gt;B7,B7&gt;B8,B8&gt;B9),"OK","Error!")</f>
        <v>OK</v>
      </c>
      <c r="C10" s="10" t="str">
        <f>IF(AND(C5&gt;C6,C6&gt;C7,C7&gt;C8,C8&gt;C9),"OK","Error!")</f>
        <v>OK</v>
      </c>
      <c r="D10" s="10" t="str">
        <f>IF(AND(D5&gt;D6,D6&gt;D7,D7&gt;D8,D8&gt;D9),"OK","Error!")</f>
        <v>OK</v>
      </c>
      <c r="E10" s="10" t="str">
        <f>IF(AND(E5&gt;E6,E6&gt;E7,E7&gt;E8,E8&gt;E9),"OK","Error!")</f>
        <v>OK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23"/>
  <sheetViews>
    <sheetView workbookViewId="0">
      <selection activeCell="M21" sqref="M21"/>
    </sheetView>
  </sheetViews>
  <sheetFormatPr defaultRowHeight="15" x14ac:dyDescent="0.25"/>
  <cols>
    <col min="1" max="1" width="6.140625" customWidth="1"/>
    <col min="2" max="2" width="13.28515625" bestFit="1" customWidth="1"/>
    <col min="3" max="3" width="10" bestFit="1" customWidth="1"/>
    <col min="4" max="4" width="8.85546875" customWidth="1"/>
    <col min="5" max="5" width="10.140625" bestFit="1" customWidth="1"/>
    <col min="6" max="6" width="8.7109375" customWidth="1"/>
    <col min="7" max="7" width="10.140625" bestFit="1" customWidth="1"/>
    <col min="8" max="8" width="8.7109375" customWidth="1"/>
    <col min="9" max="9" width="10.140625" bestFit="1" customWidth="1"/>
    <col min="11" max="11" width="10.5703125" bestFit="1" customWidth="1"/>
  </cols>
  <sheetData>
    <row r="1" spans="1:11" x14ac:dyDescent="0.25">
      <c r="A1" s="16" t="s">
        <v>23</v>
      </c>
    </row>
    <row r="3" spans="1:11" x14ac:dyDescent="0.25">
      <c r="D3" s="15" t="s">
        <v>17</v>
      </c>
      <c r="E3" s="15"/>
      <c r="F3" s="15" t="s">
        <v>18</v>
      </c>
      <c r="G3" s="15"/>
      <c r="H3" s="15" t="s">
        <v>19</v>
      </c>
      <c r="I3" s="15"/>
      <c r="J3" s="15" t="s">
        <v>52</v>
      </c>
      <c r="K3" s="15"/>
    </row>
    <row r="4" spans="1:11" x14ac:dyDescent="0.25">
      <c r="A4" s="2" t="s">
        <v>0</v>
      </c>
      <c r="B4" s="2" t="s">
        <v>56</v>
      </c>
      <c r="C4" s="2" t="s">
        <v>57</v>
      </c>
      <c r="D4" s="2" t="s">
        <v>6</v>
      </c>
      <c r="E4" s="2" t="s">
        <v>7</v>
      </c>
      <c r="F4" s="2" t="s">
        <v>6</v>
      </c>
      <c r="G4" s="2" t="s">
        <v>7</v>
      </c>
      <c r="H4" s="2" t="s">
        <v>6</v>
      </c>
      <c r="I4" s="2" t="s">
        <v>7</v>
      </c>
      <c r="J4" s="2" t="s">
        <v>6</v>
      </c>
      <c r="K4" s="2" t="s">
        <v>7</v>
      </c>
    </row>
    <row r="5" spans="1:11" x14ac:dyDescent="0.25">
      <c r="A5">
        <f>Parameters!G5</f>
        <v>20</v>
      </c>
      <c r="B5">
        <f>Parameters!H5</f>
        <v>0</v>
      </c>
      <c r="C5">
        <f>Parameters!I5</f>
        <v>20</v>
      </c>
      <c r="D5" s="1">
        <f>Scenario1!K13</f>
        <v>0.44953790214879025</v>
      </c>
      <c r="E5" s="1">
        <f>Scenario1!M13</f>
        <v>0.47228090186826632</v>
      </c>
      <c r="F5" s="1">
        <f>Scenario2!K13</f>
        <v>0.6197708121496176</v>
      </c>
      <c r="G5" s="1">
        <f>Scenario2!M13</f>
        <v>0.65876123005553866</v>
      </c>
      <c r="H5" s="1">
        <f>Scenario3!K13</f>
        <v>0.87241941347710561</v>
      </c>
      <c r="I5" s="1">
        <f>Scenario3!M13</f>
        <v>0.91917811099468816</v>
      </c>
      <c r="J5" s="1">
        <f>Scenario4!K13</f>
        <v>0.40069230570583375</v>
      </c>
      <c r="K5" s="1">
        <f>Scenario4!M13</f>
        <v>0.34008139471916632</v>
      </c>
    </row>
    <row r="6" spans="1:11" x14ac:dyDescent="0.25">
      <c r="A6">
        <f>Parameters!G6</f>
        <v>30</v>
      </c>
      <c r="B6">
        <f>Parameters!H6</f>
        <v>10</v>
      </c>
      <c r="C6">
        <f>Parameters!I6</f>
        <v>25</v>
      </c>
      <c r="D6" s="1">
        <f>Scenario1!K14</f>
        <v>0.36179853106228338</v>
      </c>
      <c r="E6" s="1">
        <f>Scenario1!M14</f>
        <v>0.38010262477968682</v>
      </c>
      <c r="F6" s="1">
        <f>Scenario2!K14</f>
        <v>0.47781075149889568</v>
      </c>
      <c r="G6" s="1">
        <f>Scenario2!M14</f>
        <v>0.50787031628586521</v>
      </c>
      <c r="H6" s="1">
        <f>Scenario3!K14</f>
        <v>0.64218657339811025</v>
      </c>
      <c r="I6" s="1">
        <f>Scenario3!M14</f>
        <v>0.67660557791761833</v>
      </c>
      <c r="J6" s="1">
        <f>Scenario4!K14</f>
        <v>0.32897691672057383</v>
      </c>
      <c r="K6" s="1">
        <f>Scenario4!M14</f>
        <v>0.27921406794089804</v>
      </c>
    </row>
    <row r="7" spans="1:11" x14ac:dyDescent="0.25">
      <c r="A7">
        <f>Parameters!G7</f>
        <v>40</v>
      </c>
      <c r="B7">
        <f>Parameters!H7</f>
        <v>25</v>
      </c>
      <c r="C7">
        <f>Parameters!I7</f>
        <v>30</v>
      </c>
      <c r="D7" s="1">
        <f>Scenario1!K15</f>
        <v>0.28165187191997065</v>
      </c>
      <c r="E7" s="1">
        <f>Scenario1!M15</f>
        <v>0.29590118974933949</v>
      </c>
      <c r="F7" s="1">
        <f>Scenario2!K15</f>
        <v>0.35579036032652567</v>
      </c>
      <c r="G7" s="1">
        <f>Scenario2!M15</f>
        <v>0.37817349706688674</v>
      </c>
      <c r="H7" s="1">
        <f>Scenario3!K15</f>
        <v>0.45608414192801294</v>
      </c>
      <c r="I7" s="1">
        <f>Scenario3!M15</f>
        <v>0.48052869245673374</v>
      </c>
      <c r="J7" s="1">
        <f>Scenario4!K15</f>
        <v>0.26148933321223583</v>
      </c>
      <c r="K7" s="1">
        <f>Scenario4!M15</f>
        <v>0.2219350256460571</v>
      </c>
    </row>
    <row r="8" spans="1:11" x14ac:dyDescent="0.25">
      <c r="A8">
        <f>Parameters!G8</f>
        <v>50</v>
      </c>
      <c r="B8">
        <f>Parameters!H8</f>
        <v>50</v>
      </c>
      <c r="C8">
        <f>Parameters!I8</f>
        <v>35</v>
      </c>
      <c r="D8" s="1">
        <f>Scenario1!K16</f>
        <v>0.21610043074119423</v>
      </c>
      <c r="E8" s="1">
        <f>Scenario1!M16</f>
        <v>0.22703337324111034</v>
      </c>
      <c r="F8" s="1">
        <f>Scenario2!K16</f>
        <v>0.26036133387623023</v>
      </c>
      <c r="G8" s="1">
        <f>Scenario2!M16</f>
        <v>0.27674093261720256</v>
      </c>
      <c r="H8" s="1">
        <f>Scenario3!K16</f>
        <v>0.31768960594890411</v>
      </c>
      <c r="I8" s="1">
        <f>Scenario3!M16</f>
        <v>0.33471668255858184</v>
      </c>
      <c r="J8" s="1">
        <f>Scenario4!K16</f>
        <v>0.2052164603675356</v>
      </c>
      <c r="K8" s="1">
        <f>Scenario4!M16</f>
        <v>0.17417429550633354</v>
      </c>
    </row>
    <row r="9" spans="1:11" x14ac:dyDescent="0.25">
      <c r="A9">
        <f>Parameters!G9</f>
        <v>60</v>
      </c>
      <c r="B9">
        <f>Parameters!H9</f>
        <v>100</v>
      </c>
      <c r="C9">
        <f>Parameters!I9</f>
        <v>40</v>
      </c>
      <c r="D9" s="1">
        <f>Scenario1!K17</f>
        <v>0.17967556661041276</v>
      </c>
      <c r="E9" s="1">
        <f>Scenario1!M17</f>
        <v>0.18876570415273014</v>
      </c>
      <c r="F9" s="1">
        <f>Scenario2!K17</f>
        <v>0.20368991474804393</v>
      </c>
      <c r="G9" s="1">
        <f>Scenario2!M17</f>
        <v>0.21650425634587067</v>
      </c>
      <c r="H9" s="1">
        <f>Scenario3!K17</f>
        <v>0.23385634575105463</v>
      </c>
      <c r="I9" s="1">
        <f>Scenario3!M17</f>
        <v>0.24639024626337711</v>
      </c>
      <c r="J9" s="1">
        <f>Scenario4!K17</f>
        <v>0.17583824482007848</v>
      </c>
      <c r="K9" s="1">
        <f>Scenario4!M17</f>
        <v>0.14923998961757923</v>
      </c>
    </row>
    <row r="15" spans="1:11" x14ac:dyDescent="0.25">
      <c r="I15" s="1"/>
    </row>
    <row r="17" spans="9:9" x14ac:dyDescent="0.25">
      <c r="I17" s="1"/>
    </row>
    <row r="18" spans="9:9" x14ac:dyDescent="0.25">
      <c r="I18" s="1"/>
    </row>
    <row r="19" spans="9:9" x14ac:dyDescent="0.25">
      <c r="I19" s="1"/>
    </row>
    <row r="21" spans="9:9" x14ac:dyDescent="0.25">
      <c r="I21" s="3"/>
    </row>
    <row r="23" spans="9:9" x14ac:dyDescent="0.25">
      <c r="I23" s="3"/>
    </row>
  </sheetData>
  <pageMargins left="0.7" right="0.7" top="0.75" bottom="0.75" header="0.3" footer="0.3"/>
  <pageSetup paperSize="9" scale="76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61"/>
  <sheetViews>
    <sheetView workbookViewId="0">
      <selection activeCell="B49" sqref="B49"/>
    </sheetView>
  </sheetViews>
  <sheetFormatPr defaultRowHeight="15" x14ac:dyDescent="0.25"/>
  <cols>
    <col min="1" max="1" width="17.28515625" customWidth="1"/>
    <col min="2" max="3" width="19.28515625" customWidth="1"/>
    <col min="4" max="4" width="5.5703125" customWidth="1"/>
  </cols>
  <sheetData>
    <row r="1" spans="1:3" x14ac:dyDescent="0.25">
      <c r="A1" s="16" t="s">
        <v>53</v>
      </c>
    </row>
    <row r="2" spans="1:3" x14ac:dyDescent="0.25">
      <c r="A2" s="9" t="s">
        <v>47</v>
      </c>
    </row>
    <row r="3" spans="1:3" x14ac:dyDescent="0.25">
      <c r="A3" s="15"/>
      <c r="B3" s="19"/>
      <c r="C3" s="19"/>
    </row>
    <row r="4" spans="1:3" x14ac:dyDescent="0.25">
      <c r="A4" s="2" t="s">
        <v>0</v>
      </c>
      <c r="B4" s="2" t="s">
        <v>6</v>
      </c>
      <c r="C4" s="2" t="s">
        <v>7</v>
      </c>
    </row>
    <row r="5" spans="1:3" x14ac:dyDescent="0.25">
      <c r="A5">
        <f>Scenario2!A13</f>
        <v>20</v>
      </c>
      <c r="B5" s="1">
        <f>Scenario2!K13</f>
        <v>0.6197708121496176</v>
      </c>
      <c r="C5" s="1">
        <f>Scenario2!M13</f>
        <v>0.65876123005553866</v>
      </c>
    </row>
    <row r="6" spans="1:3" x14ac:dyDescent="0.25">
      <c r="A6">
        <f>Scenario2!A14</f>
        <v>30</v>
      </c>
      <c r="B6" s="1">
        <f>Scenario2!K14</f>
        <v>0.47781075149889568</v>
      </c>
      <c r="C6" s="1">
        <f>Scenario2!M14</f>
        <v>0.50787031628586521</v>
      </c>
    </row>
    <row r="7" spans="1:3" x14ac:dyDescent="0.25">
      <c r="A7">
        <f>Scenario2!A15</f>
        <v>40</v>
      </c>
      <c r="B7" s="1">
        <f>Scenario2!K15</f>
        <v>0.35579036032652567</v>
      </c>
      <c r="C7" s="1">
        <f>Scenario2!M15</f>
        <v>0.37817349706688674</v>
      </c>
    </row>
    <row r="8" spans="1:3" x14ac:dyDescent="0.25">
      <c r="A8">
        <f>Scenario2!A16</f>
        <v>50</v>
      </c>
      <c r="B8" s="1">
        <f>Scenario2!K16</f>
        <v>0.26036133387623023</v>
      </c>
      <c r="C8" s="1">
        <f>Scenario2!M16</f>
        <v>0.27674093261720256</v>
      </c>
    </row>
    <row r="9" spans="1:3" x14ac:dyDescent="0.25">
      <c r="A9">
        <f>Scenario2!A17</f>
        <v>60</v>
      </c>
      <c r="B9" s="1">
        <f>Scenario2!K17</f>
        <v>0.20368991474804393</v>
      </c>
      <c r="C9" s="1">
        <f>Scenario2!M17</f>
        <v>0.21650425634587067</v>
      </c>
    </row>
    <row r="18" spans="1:3" x14ac:dyDescent="0.25">
      <c r="A18" s="9" t="s">
        <v>48</v>
      </c>
    </row>
    <row r="20" spans="1:3" x14ac:dyDescent="0.25">
      <c r="B20" s="41" t="s">
        <v>44</v>
      </c>
      <c r="C20" s="41"/>
    </row>
    <row r="21" spans="1:3" x14ac:dyDescent="0.25">
      <c r="A21" s="2" t="s">
        <v>0</v>
      </c>
      <c r="B21" s="9" t="s">
        <v>42</v>
      </c>
      <c r="C21" s="9" t="s">
        <v>43</v>
      </c>
    </row>
    <row r="22" spans="1:3" x14ac:dyDescent="0.25">
      <c r="A22">
        <f>Scenario2!A13</f>
        <v>20</v>
      </c>
      <c r="B22" s="1">
        <f>Scenario2!K13</f>
        <v>0.6197708121496176</v>
      </c>
      <c r="C22" s="1">
        <f>'Scenario2 (ret age)'!K13</f>
        <v>0.80101185182674883</v>
      </c>
    </row>
    <row r="23" spans="1:3" x14ac:dyDescent="0.25">
      <c r="A23">
        <f>Scenario2!A14</f>
        <v>30</v>
      </c>
      <c r="B23" s="1">
        <f>Scenario2!K14</f>
        <v>0.47781075149889568</v>
      </c>
      <c r="C23" s="1">
        <f>'Scenario2 (ret age)'!K14</f>
        <v>0.62905441325001521</v>
      </c>
    </row>
    <row r="24" spans="1:3" x14ac:dyDescent="0.25">
      <c r="A24">
        <f>Scenario2!A15</f>
        <v>40</v>
      </c>
      <c r="B24" s="1">
        <f>Scenario2!K15</f>
        <v>0.35579036032652567</v>
      </c>
      <c r="C24" s="1">
        <f>'Scenario2 (ret age)'!K15</f>
        <v>0.48125006726740416</v>
      </c>
    </row>
    <row r="25" spans="1:3" x14ac:dyDescent="0.25">
      <c r="A25">
        <f>Scenario2!A16</f>
        <v>50</v>
      </c>
      <c r="B25" s="1">
        <f>Scenario2!K16</f>
        <v>0.26036133387623023</v>
      </c>
      <c r="C25" s="1">
        <f>'Scenario2 (ret age)'!K16</f>
        <v>0.36565606935669098</v>
      </c>
    </row>
    <row r="26" spans="1:3" x14ac:dyDescent="0.25">
      <c r="A26">
        <f>Scenario2!A17</f>
        <v>60</v>
      </c>
      <c r="B26" s="1">
        <f>Scenario2!K17</f>
        <v>0.20368991474804393</v>
      </c>
      <c r="C26" s="1">
        <f>'Scenario2 (ret age)'!K17</f>
        <v>0.29700949348794625</v>
      </c>
    </row>
    <row r="36" spans="1:2" x14ac:dyDescent="0.25">
      <c r="A36" s="9" t="s">
        <v>49</v>
      </c>
    </row>
    <row r="37" spans="1:2" x14ac:dyDescent="0.25">
      <c r="B37" s="9"/>
    </row>
    <row r="38" spans="1:2" x14ac:dyDescent="0.25">
      <c r="A38" s="9" t="s">
        <v>45</v>
      </c>
      <c r="B38" s="9" t="s">
        <v>46</v>
      </c>
    </row>
    <row r="39" spans="1:2" x14ac:dyDescent="0.25">
      <c r="A39" s="9">
        <v>1</v>
      </c>
      <c r="B39" s="27">
        <f>Scenario1!K15</f>
        <v>0.28165187191997065</v>
      </c>
    </row>
    <row r="40" spans="1:2" x14ac:dyDescent="0.25">
      <c r="A40" s="9">
        <v>2</v>
      </c>
      <c r="B40" s="27">
        <f>Scenario2!K15</f>
        <v>0.35579036032652567</v>
      </c>
    </row>
    <row r="41" spans="1:2" x14ac:dyDescent="0.25">
      <c r="A41" s="9">
        <v>3</v>
      </c>
      <c r="B41" s="27">
        <f>Scenario3!K15</f>
        <v>0.45608414192801294</v>
      </c>
    </row>
    <row r="42" spans="1:2" x14ac:dyDescent="0.25">
      <c r="A42" s="9">
        <v>4</v>
      </c>
      <c r="B42" s="27">
        <f>Scenario4!K15</f>
        <v>0.26148933321223583</v>
      </c>
    </row>
    <row r="43" spans="1:2" x14ac:dyDescent="0.25">
      <c r="A43" s="9"/>
      <c r="B43" s="9"/>
    </row>
    <row r="53" spans="1:3" x14ac:dyDescent="0.25">
      <c r="A53" s="9" t="s">
        <v>50</v>
      </c>
    </row>
    <row r="54" spans="1:3" x14ac:dyDescent="0.25">
      <c r="A54" s="9"/>
    </row>
    <row r="55" spans="1:3" x14ac:dyDescent="0.25">
      <c r="B55" s="41" t="s">
        <v>46</v>
      </c>
      <c r="C55" s="41"/>
    </row>
    <row r="56" spans="1:3" x14ac:dyDescent="0.25">
      <c r="A56" s="9" t="s">
        <v>0</v>
      </c>
      <c r="B56" s="11">
        <v>0.1</v>
      </c>
      <c r="C56" s="11">
        <v>0.15</v>
      </c>
    </row>
    <row r="57" spans="1:3" x14ac:dyDescent="0.25">
      <c r="A57">
        <f>Scenario4!A13</f>
        <v>20</v>
      </c>
      <c r="B57" s="1">
        <f>'Scenario4 (cont)'!K13</f>
        <v>0.26712820380388919</v>
      </c>
      <c r="C57" s="1">
        <f>Scenario4!K13</f>
        <v>0.40069230570583375</v>
      </c>
    </row>
    <row r="58" spans="1:3" x14ac:dyDescent="0.25">
      <c r="A58">
        <f>Scenario4!A14</f>
        <v>30</v>
      </c>
      <c r="B58" s="1">
        <f>'Scenario4 (cont)'!K14</f>
        <v>0.22769654463422426</v>
      </c>
      <c r="C58" s="1">
        <f>Scenario4!K14</f>
        <v>0.32897691672057383</v>
      </c>
    </row>
    <row r="59" spans="1:3" x14ac:dyDescent="0.25">
      <c r="A59">
        <f>Scenario4!A15</f>
        <v>40</v>
      </c>
      <c r="B59" s="1">
        <f>'Scenario4 (cont)'!K15</f>
        <v>0.19094461161002937</v>
      </c>
      <c r="C59" s="1">
        <f>Scenario4!K15</f>
        <v>0.26148933321223583</v>
      </c>
    </row>
    <row r="60" spans="1:3" x14ac:dyDescent="0.25">
      <c r="A60">
        <f>Scenario4!A16</f>
        <v>50</v>
      </c>
      <c r="B60" s="1">
        <f>'Scenario4 (cont)'!K16</f>
        <v>0.16393354389377712</v>
      </c>
      <c r="C60" s="1">
        <f>Scenario4!K16</f>
        <v>0.2052164603675356</v>
      </c>
    </row>
    <row r="61" spans="1:3" x14ac:dyDescent="0.25">
      <c r="A61">
        <f>Scenario4!A17</f>
        <v>60</v>
      </c>
      <c r="B61" s="1">
        <f>'Scenario4 (cont)'!K17</f>
        <v>0.1624139624044153</v>
      </c>
      <c r="C61" s="1">
        <f>Scenario4!K17</f>
        <v>0.17583824482007848</v>
      </c>
    </row>
  </sheetData>
  <mergeCells count="2">
    <mergeCell ref="B20:C20"/>
    <mergeCell ref="B55:C5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P32" sqref="P32"/>
    </sheetView>
  </sheetViews>
  <sheetFormatPr defaultRowHeight="15" x14ac:dyDescent="0.25"/>
  <sheetData>
    <row r="1" spans="1:6" x14ac:dyDescent="0.25">
      <c r="A1" s="16" t="s">
        <v>26</v>
      </c>
      <c r="B1" s="16"/>
    </row>
    <row r="3" spans="1:6" x14ac:dyDescent="0.25">
      <c r="B3" s="9"/>
      <c r="C3" s="9" t="s">
        <v>22</v>
      </c>
      <c r="D3" s="9"/>
      <c r="E3" s="9"/>
    </row>
    <row r="4" spans="1:6" x14ac:dyDescent="0.25">
      <c r="A4" s="2" t="s">
        <v>8</v>
      </c>
      <c r="B4" s="11">
        <v>0.02</v>
      </c>
      <c r="C4" s="11">
        <v>0.03</v>
      </c>
      <c r="D4" s="11">
        <v>0.04</v>
      </c>
      <c r="E4" s="11">
        <v>0.05</v>
      </c>
      <c r="F4" s="5" t="s">
        <v>15</v>
      </c>
    </row>
    <row r="5" spans="1:6" x14ac:dyDescent="0.25">
      <c r="A5" s="9">
        <v>55</v>
      </c>
      <c r="B5" s="18">
        <f>'RawData (corrected)'!B5</f>
        <v>22.4</v>
      </c>
      <c r="C5" s="18">
        <f>'RawData (corrected)'!C5</f>
        <v>20.5</v>
      </c>
      <c r="D5" s="18">
        <f>'RawData (corrected)'!D5</f>
        <v>18.7</v>
      </c>
      <c r="E5" s="18">
        <f>'RawData (corrected)'!E5</f>
        <v>16.899999999999999</v>
      </c>
      <c r="F5" s="5" t="str">
        <f>IF(AND(B5&gt;C5,C5&gt;D5,D5&gt;E5),"OK","Error!")</f>
        <v>OK</v>
      </c>
    </row>
    <row r="6" spans="1:6" x14ac:dyDescent="0.25">
      <c r="A6" s="9">
        <v>60</v>
      </c>
      <c r="B6" s="18">
        <f>'RawData (corrected)'!B6</f>
        <v>20.6</v>
      </c>
      <c r="C6" s="18">
        <f>'RawData (corrected)'!C6</f>
        <v>19</v>
      </c>
      <c r="D6" s="18">
        <f>'RawData (corrected)'!D6</f>
        <v>17.3</v>
      </c>
      <c r="E6" s="18">
        <f>'RawData (corrected)'!E6</f>
        <v>15.6</v>
      </c>
      <c r="F6" s="5" t="str">
        <f>IF(AND(B6&gt;C6,C6&gt;D6,D6&gt;E6),"OK","Error!")</f>
        <v>OK</v>
      </c>
    </row>
    <row r="7" spans="1:6" x14ac:dyDescent="0.25">
      <c r="A7" s="9">
        <v>65</v>
      </c>
      <c r="B7" s="18">
        <f>'RawData (corrected)'!B7</f>
        <v>18.899999999999999</v>
      </c>
      <c r="C7" s="18">
        <f>'RawData (corrected)'!C7</f>
        <v>17.399999999999999</v>
      </c>
      <c r="D7" s="18">
        <f>'RawData (corrected)'!D7</f>
        <v>15.8</v>
      </c>
      <c r="E7" s="18">
        <f>'RawData (corrected)'!E7</f>
        <v>14.3</v>
      </c>
      <c r="F7" s="5" t="str">
        <f>IF(AND(B7&gt;C7,C7&gt;D7,D7&gt;E7),"OK","Error!")</f>
        <v>OK</v>
      </c>
    </row>
    <row r="8" spans="1:6" x14ac:dyDescent="0.25">
      <c r="A8" s="9">
        <v>70</v>
      </c>
      <c r="B8" s="18">
        <f>'RawData (corrected)'!B8</f>
        <v>17.2</v>
      </c>
      <c r="C8" s="18">
        <f>'RawData (corrected)'!C8</f>
        <v>15.8</v>
      </c>
      <c r="D8" s="18">
        <f>'RawData (corrected)'!D8</f>
        <v>14.4</v>
      </c>
      <c r="E8" s="18">
        <f>'RawData (corrected)'!E8</f>
        <v>13</v>
      </c>
      <c r="F8" s="5" t="str">
        <f>IF(AND(B8&gt;C8,C8&gt;D8,D8&gt;E8),"OK","Error!")</f>
        <v>OK</v>
      </c>
    </row>
    <row r="9" spans="1:6" x14ac:dyDescent="0.25">
      <c r="A9" s="9">
        <v>75</v>
      </c>
      <c r="B9" s="18">
        <f>'RawData (corrected)'!B9</f>
        <v>15.5</v>
      </c>
      <c r="C9" s="18">
        <f>'RawData (corrected)'!C9</f>
        <v>14.2</v>
      </c>
      <c r="D9" s="18">
        <f>'RawData (corrected)'!D9</f>
        <v>13</v>
      </c>
      <c r="E9" s="18">
        <f>'RawData (corrected)'!E9</f>
        <v>11.7</v>
      </c>
      <c r="F9" s="5" t="str">
        <f>IF(AND(B9&gt;C9,C9&gt;D9,D9&gt;E9),"OK","Error!")</f>
        <v>OK</v>
      </c>
    </row>
    <row r="10" spans="1:6" x14ac:dyDescent="0.25">
      <c r="A10" s="10" t="s">
        <v>15</v>
      </c>
      <c r="B10" s="10" t="str">
        <f>IF(AND(B5&gt;B6,B6&gt;B7,B7&gt;B8,B8&gt;B9),"OK","Error!")</f>
        <v>OK</v>
      </c>
      <c r="C10" s="10" t="str">
        <f>IF(AND(C5&gt;C6,C6&gt;C7,C7&gt;C8,C8&gt;C9),"OK","Error!")</f>
        <v>OK</v>
      </c>
      <c r="D10" s="10" t="str">
        <f>IF(AND(D5&gt;D6,D6&gt;D7,D7&gt;D8,D8&gt;D9),"OK","Error!")</f>
        <v>OK</v>
      </c>
      <c r="E10" s="10" t="str">
        <f>IF(AND(E5&gt;E6,E6&gt;E7,E7&gt;E8,E8&gt;E9),"OK","Error!")</f>
        <v>OK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"/>
  <sheetViews>
    <sheetView workbookViewId="0">
      <selection activeCell="G4" sqref="G4:I9"/>
    </sheetView>
  </sheetViews>
  <sheetFormatPr defaultRowHeight="15" x14ac:dyDescent="0.25"/>
  <cols>
    <col min="1" max="1" width="26.140625" bestFit="1" customWidth="1"/>
    <col min="2" max="4" width="9.7109375" bestFit="1" customWidth="1"/>
    <col min="5" max="5" width="10" bestFit="1" customWidth="1"/>
    <col min="8" max="8" width="13.28515625" bestFit="1" customWidth="1"/>
    <col min="9" max="9" width="10" bestFit="1" customWidth="1"/>
  </cols>
  <sheetData>
    <row r="1" spans="1:9" x14ac:dyDescent="0.25">
      <c r="A1" s="16" t="s">
        <v>24</v>
      </c>
    </row>
    <row r="3" spans="1:9" x14ac:dyDescent="0.25">
      <c r="B3" s="9"/>
      <c r="C3" s="9" t="s">
        <v>21</v>
      </c>
      <c r="D3" s="9"/>
      <c r="H3" s="9" t="s">
        <v>30</v>
      </c>
    </row>
    <row r="4" spans="1:9" x14ac:dyDescent="0.25">
      <c r="A4" s="9"/>
      <c r="B4" s="11" t="s">
        <v>12</v>
      </c>
      <c r="C4" s="11" t="s">
        <v>13</v>
      </c>
      <c r="D4" s="11" t="s">
        <v>14</v>
      </c>
      <c r="E4" s="35" t="s">
        <v>39</v>
      </c>
      <c r="F4" s="11"/>
      <c r="G4" s="2" t="s">
        <v>0</v>
      </c>
      <c r="H4" s="2" t="s">
        <v>56</v>
      </c>
      <c r="I4" s="2" t="s">
        <v>57</v>
      </c>
    </row>
    <row r="5" spans="1:9" x14ac:dyDescent="0.25">
      <c r="A5" s="9" t="s">
        <v>9</v>
      </c>
      <c r="B5" s="13">
        <v>0.04</v>
      </c>
      <c r="C5" s="13">
        <v>0.06</v>
      </c>
      <c r="D5" s="13">
        <v>0.08</v>
      </c>
      <c r="E5" s="13">
        <v>0.02</v>
      </c>
      <c r="G5" s="12">
        <v>20</v>
      </c>
      <c r="H5" s="12">
        <v>0</v>
      </c>
      <c r="I5" s="12">
        <v>20</v>
      </c>
    </row>
    <row r="6" spans="1:9" x14ac:dyDescent="0.25">
      <c r="A6" s="9" t="s">
        <v>10</v>
      </c>
      <c r="B6" s="13">
        <v>0.03</v>
      </c>
      <c r="C6" s="13">
        <v>0.04</v>
      </c>
      <c r="D6" s="13">
        <v>0.05</v>
      </c>
      <c r="E6" s="25">
        <v>1.4999999999999999E-2</v>
      </c>
      <c r="G6" s="12">
        <v>30</v>
      </c>
      <c r="H6" s="12">
        <v>10</v>
      </c>
      <c r="I6" s="12">
        <v>25</v>
      </c>
    </row>
    <row r="7" spans="1:9" x14ac:dyDescent="0.25">
      <c r="A7" s="9" t="s">
        <v>11</v>
      </c>
      <c r="B7" s="13">
        <v>0.01</v>
      </c>
      <c r="C7" s="13">
        <v>0.02</v>
      </c>
      <c r="D7" s="13">
        <v>0.03</v>
      </c>
      <c r="E7" s="13">
        <v>0.01</v>
      </c>
      <c r="G7" s="12">
        <v>40</v>
      </c>
      <c r="H7" s="12">
        <v>25</v>
      </c>
      <c r="I7" s="12">
        <v>30</v>
      </c>
    </row>
    <row r="8" spans="1:9" x14ac:dyDescent="0.25">
      <c r="G8" s="12">
        <v>50</v>
      </c>
      <c r="H8" s="12">
        <v>50</v>
      </c>
      <c r="I8" s="12">
        <v>35</v>
      </c>
    </row>
    <row r="9" spans="1:9" x14ac:dyDescent="0.25">
      <c r="G9" s="12">
        <v>60</v>
      </c>
      <c r="H9" s="12">
        <v>100</v>
      </c>
      <c r="I9" s="12">
        <v>40</v>
      </c>
    </row>
    <row r="10" spans="1:9" x14ac:dyDescent="0.25">
      <c r="A10" s="9" t="s">
        <v>16</v>
      </c>
    </row>
    <row r="11" spans="1:9" x14ac:dyDescent="0.25">
      <c r="A11" t="s">
        <v>27</v>
      </c>
      <c r="B11" s="12">
        <v>65</v>
      </c>
    </row>
    <row r="12" spans="1:9" x14ac:dyDescent="0.25">
      <c r="A12" s="32" t="s">
        <v>41</v>
      </c>
      <c r="B12" s="12">
        <v>70</v>
      </c>
    </row>
    <row r="13" spans="1:9" x14ac:dyDescent="0.25">
      <c r="A13" t="s">
        <v>28</v>
      </c>
      <c r="B13" s="12">
        <v>90</v>
      </c>
    </row>
    <row r="14" spans="1:9" x14ac:dyDescent="0.25">
      <c r="A14" t="s">
        <v>2</v>
      </c>
      <c r="B14" s="14">
        <v>0.15</v>
      </c>
    </row>
    <row r="15" spans="1:9" x14ac:dyDescent="0.25">
      <c r="A15" s="32" t="s">
        <v>40</v>
      </c>
      <c r="B15" s="14">
        <v>0.1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1"/>
  <sheetViews>
    <sheetView workbookViewId="0">
      <selection activeCell="P32" sqref="P32"/>
    </sheetView>
  </sheetViews>
  <sheetFormatPr defaultRowHeight="15" x14ac:dyDescent="0.25"/>
  <cols>
    <col min="1" max="1" width="8.85546875" customWidth="1"/>
    <col min="2" max="2" width="14" bestFit="1" customWidth="1"/>
    <col min="3" max="3" width="10.140625" bestFit="1" customWidth="1"/>
    <col min="4" max="4" width="13.7109375" customWidth="1"/>
    <col min="5" max="5" width="11.5703125" customWidth="1"/>
    <col min="6" max="6" width="15.28515625" customWidth="1"/>
    <col min="7" max="7" width="18.7109375" customWidth="1"/>
    <col min="8" max="8" width="28.28515625" customWidth="1"/>
    <col min="9" max="13" width="15.28515625" customWidth="1"/>
    <col min="14" max="14" width="9.85546875" bestFit="1" customWidth="1"/>
    <col min="15" max="15" width="15" bestFit="1" customWidth="1"/>
    <col min="16" max="16" width="10.140625" bestFit="1" customWidth="1"/>
    <col min="18" max="18" width="5.5703125" customWidth="1"/>
    <col min="19" max="19" width="10.140625" bestFit="1" customWidth="1"/>
    <col min="20" max="20" width="5.5703125" customWidth="1"/>
    <col min="23" max="23" width="15.7109375" bestFit="1" customWidth="1"/>
  </cols>
  <sheetData>
    <row r="1" spans="1:21" x14ac:dyDescent="0.25">
      <c r="A1" s="16" t="s">
        <v>17</v>
      </c>
      <c r="B1" s="16"/>
    </row>
    <row r="3" spans="1:21" x14ac:dyDescent="0.25">
      <c r="A3" s="9" t="s">
        <v>20</v>
      </c>
    </row>
    <row r="4" spans="1:21" x14ac:dyDescent="0.25">
      <c r="A4" t="s">
        <v>3</v>
      </c>
      <c r="C4" s="1">
        <f>Parameters!B5</f>
        <v>0.04</v>
      </c>
    </row>
    <row r="5" spans="1:21" x14ac:dyDescent="0.25">
      <c r="A5" t="s">
        <v>4</v>
      </c>
      <c r="C5" s="1">
        <f>Parameters!B6</f>
        <v>0.03</v>
      </c>
    </row>
    <row r="6" spans="1:21" x14ac:dyDescent="0.25">
      <c r="A6" t="s">
        <v>1</v>
      </c>
      <c r="C6" s="1">
        <f>Parameters!B7</f>
        <v>0.01</v>
      </c>
    </row>
    <row r="8" spans="1:21" x14ac:dyDescent="0.25">
      <c r="A8" s="9" t="s">
        <v>29</v>
      </c>
    </row>
    <row r="9" spans="1:21" x14ac:dyDescent="0.25">
      <c r="A9" t="s">
        <v>5</v>
      </c>
      <c r="C9" s="17">
        <f>HLOOKUP(C6+1%,CleanData!$B$4:$E$7,4,FALSE)</f>
        <v>18.899999999999999</v>
      </c>
    </row>
    <row r="10" spans="1:21" x14ac:dyDescent="0.25">
      <c r="A10" t="s">
        <v>32</v>
      </c>
      <c r="C10" s="3">
        <f>(1+$C$4)*(1-((1+$C$4)/(1+$C$6))^(Parameters!$B$11-Parameters!$B$13))/($C$4-$C$6)</f>
        <v>17.989857978593438</v>
      </c>
    </row>
    <row r="11" spans="1:21" x14ac:dyDescent="0.25">
      <c r="J11" s="38" t="s">
        <v>6</v>
      </c>
      <c r="K11" s="38"/>
      <c r="L11" s="38" t="s">
        <v>7</v>
      </c>
      <c r="M11" s="38"/>
      <c r="N11" s="39" t="s">
        <v>35</v>
      </c>
      <c r="O11" s="39"/>
    </row>
    <row r="12" spans="1:21" s="22" customFormat="1" ht="36" customHeight="1" x14ac:dyDescent="0.25">
      <c r="A12" s="21" t="s">
        <v>0</v>
      </c>
      <c r="B12" s="21" t="s">
        <v>58</v>
      </c>
      <c r="C12" s="21" t="s">
        <v>59</v>
      </c>
      <c r="D12" s="21" t="s">
        <v>31</v>
      </c>
      <c r="E12" s="21" t="s">
        <v>60</v>
      </c>
      <c r="F12" s="21" t="s">
        <v>61</v>
      </c>
      <c r="G12" s="21" t="s">
        <v>34</v>
      </c>
      <c r="H12" s="21" t="s">
        <v>62</v>
      </c>
      <c r="I12" s="21" t="s">
        <v>63</v>
      </c>
      <c r="J12" s="21" t="s">
        <v>64</v>
      </c>
      <c r="K12" s="21" t="s">
        <v>33</v>
      </c>
      <c r="L12" s="21" t="s">
        <v>64</v>
      </c>
      <c r="M12" s="21" t="s">
        <v>33</v>
      </c>
      <c r="N12" s="24" t="s">
        <v>36</v>
      </c>
      <c r="O12" s="24" t="s">
        <v>37</v>
      </c>
      <c r="P12" s="21"/>
      <c r="Q12" s="21"/>
      <c r="R12" s="21"/>
      <c r="S12" s="21"/>
      <c r="T12" s="21"/>
      <c r="U12" s="21"/>
    </row>
    <row r="13" spans="1:21" x14ac:dyDescent="0.25">
      <c r="A13">
        <f>Parameters!G5</f>
        <v>20</v>
      </c>
      <c r="B13">
        <f>Parameters!H5</f>
        <v>0</v>
      </c>
      <c r="C13">
        <f>Parameters!I5</f>
        <v>20</v>
      </c>
      <c r="D13">
        <f>Parameters!$B$11-$A13</f>
        <v>45</v>
      </c>
      <c r="E13" s="3">
        <f>$C13*(1+$C$5)^$D13</f>
        <v>75.631916833026793</v>
      </c>
      <c r="F13" s="3">
        <f>B13*(1+$C$4)^D13</f>
        <v>0</v>
      </c>
      <c r="G13" s="3">
        <f>((1+$C$4)^(D13)-(1+$C$5)^D13)/($C$4-$C$5)</f>
        <v>205.95798398100675</v>
      </c>
      <c r="H13" s="3">
        <f>Parameters!$B$14*Scenario1!C13*(1+Scenario1!$C$4)*Scenario1!G13</f>
        <v>642.58891002074108</v>
      </c>
      <c r="I13" s="3">
        <f>F13+H13</f>
        <v>642.58891002074108</v>
      </c>
      <c r="J13" s="3">
        <f>I13/$C$9</f>
        <v>33.999413228610642</v>
      </c>
      <c r="K13" s="23">
        <f>J13/E13</f>
        <v>0.44953790214879025</v>
      </c>
      <c r="L13" s="3">
        <f>I13/$C$10</f>
        <v>35.719509891927608</v>
      </c>
      <c r="M13" s="23">
        <f>L13/E13</f>
        <v>0.47228090186826632</v>
      </c>
      <c r="N13" s="6" t="b">
        <f>ROUND(J13/L13,2)=ROUND($C$10/$C$9,2)</f>
        <v>1</v>
      </c>
      <c r="O13" s="6" t="b">
        <f>ROUND(K13/M13,2)=ROUND($C$10/$C$9,2)</f>
        <v>1</v>
      </c>
      <c r="P13" s="4"/>
      <c r="Q13" s="4"/>
      <c r="R13" s="1"/>
      <c r="S13" s="4"/>
      <c r="T13" s="1"/>
    </row>
    <row r="14" spans="1:21" x14ac:dyDescent="0.25">
      <c r="A14">
        <f>Parameters!G6</f>
        <v>30</v>
      </c>
      <c r="B14">
        <f>Parameters!H6</f>
        <v>10</v>
      </c>
      <c r="C14">
        <f>Parameters!I6</f>
        <v>25</v>
      </c>
      <c r="D14">
        <f>Parameters!$B$11-$A14</f>
        <v>35</v>
      </c>
      <c r="E14" s="3">
        <f>$C14*(1+$C$5)^$D14</f>
        <v>70.34656135928806</v>
      </c>
      <c r="F14" s="3">
        <f t="shared" ref="F14:F17" si="0">B14*(1+$C$4)^D14</f>
        <v>39.460889942119437</v>
      </c>
      <c r="G14" s="3">
        <f t="shared" ref="G14:G17" si="1">((1+$C$4)^(D14)-(1+$C$5)^D14)/($C$4-$C$5)</f>
        <v>113.22265398404208</v>
      </c>
      <c r="H14" s="3">
        <f>Parameters!$B$14*Scenario1!C14*(1+Scenario1!$C$4)*Scenario1!G14</f>
        <v>441.56835053776416</v>
      </c>
      <c r="I14" s="3">
        <f t="shared" ref="I14:I17" si="2">F14+H14</f>
        <v>481.02924047988358</v>
      </c>
      <c r="J14" s="3">
        <f t="shared" ref="J14:J17" si="3">I14/$C$9</f>
        <v>25.451282565073207</v>
      </c>
      <c r="K14" s="23">
        <f t="shared" ref="K14:K17" si="4">J14/E14</f>
        <v>0.36179853106228338</v>
      </c>
      <c r="L14" s="3">
        <f>I14/$C$10</f>
        <v>26.738912616890683</v>
      </c>
      <c r="M14" s="23">
        <f>L14/E14</f>
        <v>0.38010262477968682</v>
      </c>
      <c r="N14" s="6" t="b">
        <f t="shared" ref="N14:N17" si="5">ROUND(J14/L14,2)=ROUND($C$10/$C$9,2)</f>
        <v>1</v>
      </c>
      <c r="O14" s="6" t="b">
        <f t="shared" ref="O14:O17" si="6">ROUND(K14/M14,2)=ROUND($C$10/$C$9,2)</f>
        <v>1</v>
      </c>
      <c r="P14" s="4"/>
      <c r="Q14" s="4"/>
      <c r="R14" s="1"/>
      <c r="S14" s="4"/>
      <c r="T14" s="1"/>
    </row>
    <row r="15" spans="1:21" x14ac:dyDescent="0.25">
      <c r="A15">
        <f>Parameters!G7</f>
        <v>40</v>
      </c>
      <c r="B15">
        <f>Parameters!H7</f>
        <v>25</v>
      </c>
      <c r="C15">
        <f>Parameters!I7</f>
        <v>30</v>
      </c>
      <c r="D15">
        <f>Parameters!$B$11-$A15</f>
        <v>25</v>
      </c>
      <c r="E15" s="3">
        <f>$C15*(1+$C$5)^$D15</f>
        <v>62.813337889626418</v>
      </c>
      <c r="F15" s="3">
        <f t="shared" si="0"/>
        <v>66.645908287185591</v>
      </c>
      <c r="G15" s="3">
        <f t="shared" si="1"/>
        <v>57.205840183320944</v>
      </c>
      <c r="H15" s="3">
        <f>Parameters!$B$14*Scenario1!C15*(1+Scenario1!$C$4)*Scenario1!G15</f>
        <v>267.723332057942</v>
      </c>
      <c r="I15" s="3">
        <f t="shared" si="2"/>
        <v>334.36924034512759</v>
      </c>
      <c r="J15" s="3">
        <f t="shared" si="3"/>
        <v>17.691494198154899</v>
      </c>
      <c r="K15" s="23">
        <f t="shared" si="4"/>
        <v>0.28165187191997065</v>
      </c>
      <c r="L15" s="3">
        <f>I15/$C$10</f>
        <v>18.586541413667721</v>
      </c>
      <c r="M15" s="23">
        <f>L15/E15</f>
        <v>0.29590118974933949</v>
      </c>
      <c r="N15" s="6" t="b">
        <f t="shared" si="5"/>
        <v>1</v>
      </c>
      <c r="O15" s="6" t="b">
        <f t="shared" si="6"/>
        <v>1</v>
      </c>
      <c r="P15" s="4"/>
      <c r="Q15" s="4"/>
      <c r="R15" s="1"/>
      <c r="S15" s="4"/>
      <c r="T15" s="1"/>
    </row>
    <row r="16" spans="1:21" x14ac:dyDescent="0.25">
      <c r="A16">
        <f>Parameters!G8</f>
        <v>50</v>
      </c>
      <c r="B16">
        <f>Parameters!H8</f>
        <v>50</v>
      </c>
      <c r="C16">
        <f>Parameters!I8</f>
        <v>35</v>
      </c>
      <c r="D16">
        <f>Parameters!$B$11-$A16</f>
        <v>15</v>
      </c>
      <c r="E16" s="3">
        <f>$C16*(1+$C$5)^$D16</f>
        <v>54.528859581026758</v>
      </c>
      <c r="F16" s="3">
        <f t="shared" si="0"/>
        <v>90.047175275345836</v>
      </c>
      <c r="G16" s="3">
        <f t="shared" si="1"/>
        <v>24.297608890615226</v>
      </c>
      <c r="H16" s="3">
        <f>Parameters!$B$14*Scenario1!C16*(1+Scenario1!$C$4)*Scenario1!G16</f>
        <v>132.66494454275914</v>
      </c>
      <c r="I16" s="3">
        <f t="shared" si="2"/>
        <v>222.71211981810498</v>
      </c>
      <c r="J16" s="3">
        <f t="shared" si="3"/>
        <v>11.783710043285978</v>
      </c>
      <c r="K16" s="23">
        <f t="shared" si="4"/>
        <v>0.21610043074119423</v>
      </c>
      <c r="L16" s="3">
        <f>I16/$C$10</f>
        <v>12.379870929671343</v>
      </c>
      <c r="M16" s="23">
        <f>L16/E16</f>
        <v>0.22703337324111034</v>
      </c>
      <c r="N16" s="6" t="b">
        <f t="shared" si="5"/>
        <v>1</v>
      </c>
      <c r="O16" s="6" t="b">
        <f t="shared" si="6"/>
        <v>1</v>
      </c>
      <c r="P16" s="4"/>
      <c r="Q16" s="4"/>
      <c r="R16" s="1"/>
      <c r="S16" s="4"/>
      <c r="T16" s="1"/>
    </row>
    <row r="17" spans="1:21" x14ac:dyDescent="0.25">
      <c r="A17">
        <f>Parameters!G9</f>
        <v>60</v>
      </c>
      <c r="B17">
        <f>Parameters!H9</f>
        <v>100</v>
      </c>
      <c r="C17">
        <f>Parameters!I9</f>
        <v>40</v>
      </c>
      <c r="D17">
        <f>Parameters!$B$11-$A17</f>
        <v>5</v>
      </c>
      <c r="E17" s="3">
        <f>$C17*(1+$C$5)^$D17</f>
        <v>46.370962971999994</v>
      </c>
      <c r="F17" s="3">
        <f t="shared" si="0"/>
        <v>121.66529024000003</v>
      </c>
      <c r="G17" s="3">
        <f t="shared" si="1"/>
        <v>5.7378828100000492</v>
      </c>
      <c r="H17" s="3">
        <f>Parameters!$B$14*Scenario1!C17*(1+Scenario1!$C$4)*Scenario1!G17</f>
        <v>35.804388734400305</v>
      </c>
      <c r="I17" s="3">
        <f t="shared" si="2"/>
        <v>157.46967897440032</v>
      </c>
      <c r="J17" s="3">
        <f t="shared" si="3"/>
        <v>8.3317290462645683</v>
      </c>
      <c r="K17" s="23">
        <f t="shared" si="4"/>
        <v>0.17967556661041276</v>
      </c>
      <c r="L17" s="3">
        <f>I17/$C$10</f>
        <v>8.7532474776497544</v>
      </c>
      <c r="M17" s="23">
        <f>L17/E17</f>
        <v>0.18876570415273014</v>
      </c>
      <c r="N17" s="6" t="b">
        <f t="shared" si="5"/>
        <v>1</v>
      </c>
      <c r="O17" s="6" t="b">
        <f t="shared" si="6"/>
        <v>1</v>
      </c>
      <c r="P17" s="4"/>
      <c r="Q17" s="4"/>
      <c r="R17" s="1"/>
      <c r="S17" s="4"/>
      <c r="T17" s="1"/>
    </row>
    <row r="18" spans="1:21" x14ac:dyDescent="0.25"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  <c r="Q18" s="4"/>
      <c r="R18" s="1"/>
      <c r="S18" s="4"/>
      <c r="T18" s="1"/>
    </row>
    <row r="19" spans="1:21" x14ac:dyDescent="0.25">
      <c r="A19" s="5"/>
      <c r="B19" s="5"/>
      <c r="C19" s="10" t="s">
        <v>15</v>
      </c>
      <c r="D19" s="20" t="str">
        <f>IF(AVERAGE(D13:D17)+AVERAGE(A13:A17)=Parameters!$B$11,"OK","Error!")</f>
        <v>OK</v>
      </c>
      <c r="E19" s="6"/>
      <c r="F19" s="20" t="str">
        <f>IF(AND(F13&lt;F14,F14&lt;F15,F15&lt;F16,F16&lt;F17),"OK","Error!")</f>
        <v>OK</v>
      </c>
      <c r="G19" s="6"/>
      <c r="H19" s="20" t="str">
        <f>IF(AND(H13&gt;H14,H14&gt;H15,H15&gt;H16,H16&gt;H17),"OK","Error!")</f>
        <v>OK</v>
      </c>
      <c r="I19" s="6"/>
      <c r="J19" s="6"/>
      <c r="K19" s="6"/>
      <c r="L19" s="6"/>
      <c r="M19" s="6"/>
      <c r="N19" s="20"/>
      <c r="O19" s="20"/>
      <c r="P19" s="7"/>
      <c r="Q19" s="7"/>
      <c r="R19" s="8"/>
      <c r="S19" s="7"/>
      <c r="T19" s="8"/>
      <c r="U19" s="5"/>
    </row>
    <row r="21" spans="1:2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7"/>
      <c r="R21" s="8"/>
      <c r="S21" s="7"/>
      <c r="T21" s="8"/>
    </row>
  </sheetData>
  <mergeCells count="3">
    <mergeCell ref="J11:K11"/>
    <mergeCell ref="L11:M11"/>
    <mergeCell ref="N11:O11"/>
  </mergeCells>
  <pageMargins left="0.7" right="0.7" top="0.75" bottom="0.75" header="0.3" footer="0.3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B4450-3685-4BAF-8670-1A7EB1B02199}">
  <sheetPr>
    <pageSetUpPr fitToPage="1"/>
  </sheetPr>
  <dimension ref="A1:U21"/>
  <sheetViews>
    <sheetView workbookViewId="0">
      <selection activeCell="P32" sqref="P32"/>
    </sheetView>
  </sheetViews>
  <sheetFormatPr defaultColWidth="13.7109375" defaultRowHeight="15" x14ac:dyDescent="0.25"/>
  <cols>
    <col min="6" max="6" width="14.7109375" bestFit="1" customWidth="1"/>
    <col min="7" max="7" width="18.7109375" bestFit="1" customWidth="1"/>
    <col min="8" max="8" width="27.28515625" bestFit="1" customWidth="1"/>
    <col min="9" max="9" width="15.7109375" bestFit="1" customWidth="1"/>
    <col min="15" max="15" width="15" bestFit="1" customWidth="1"/>
  </cols>
  <sheetData>
    <row r="1" spans="1:21" x14ac:dyDescent="0.25">
      <c r="A1" s="16" t="s">
        <v>18</v>
      </c>
      <c r="B1" s="16"/>
    </row>
    <row r="3" spans="1:21" x14ac:dyDescent="0.25">
      <c r="A3" s="9" t="s">
        <v>20</v>
      </c>
    </row>
    <row r="4" spans="1:21" x14ac:dyDescent="0.25">
      <c r="A4" t="s">
        <v>3</v>
      </c>
      <c r="C4" s="1">
        <f>Parameters!C5</f>
        <v>0.06</v>
      </c>
    </row>
    <row r="5" spans="1:21" x14ac:dyDescent="0.25">
      <c r="A5" t="s">
        <v>4</v>
      </c>
      <c r="C5" s="1">
        <f>Parameters!C6</f>
        <v>0.04</v>
      </c>
    </row>
    <row r="6" spans="1:21" x14ac:dyDescent="0.25">
      <c r="A6" t="s">
        <v>1</v>
      </c>
      <c r="C6" s="1">
        <f>Parameters!C7</f>
        <v>0.02</v>
      </c>
    </row>
    <row r="8" spans="1:21" x14ac:dyDescent="0.25">
      <c r="A8" s="9" t="s">
        <v>29</v>
      </c>
      <c r="D8" s="5" t="s">
        <v>15</v>
      </c>
    </row>
    <row r="9" spans="1:21" x14ac:dyDescent="0.25">
      <c r="A9" t="s">
        <v>5</v>
      </c>
      <c r="C9" s="17">
        <f>HLOOKUP(C6+1%,CleanData!$B$4:$E$7,4,FALSE)</f>
        <v>17.399999999999999</v>
      </c>
      <c r="D9" s="5" t="str">
        <f>IF(C9&lt;Scenario1!C9,"OK","Error")</f>
        <v>OK</v>
      </c>
    </row>
    <row r="10" spans="1:21" x14ac:dyDescent="0.25">
      <c r="A10" t="s">
        <v>32</v>
      </c>
      <c r="C10" s="3">
        <f>(1+$C$4)*(1-((1+$C$6)/(1+$C$4))^(Parameters!$B$13-Parameters!$B$11))/($C$4-$C$6)</f>
        <v>16.370137827470764</v>
      </c>
      <c r="D10" s="5" t="str">
        <f>IF(C10&lt;Scenario1!C10,"OK","Error")</f>
        <v>OK</v>
      </c>
    </row>
    <row r="11" spans="1:21" x14ac:dyDescent="0.25">
      <c r="J11" s="38" t="s">
        <v>6</v>
      </c>
      <c r="K11" s="38"/>
      <c r="L11" s="38" t="s">
        <v>7</v>
      </c>
      <c r="M11" s="38"/>
      <c r="N11" s="39" t="s">
        <v>35</v>
      </c>
      <c r="O11" s="39"/>
    </row>
    <row r="12" spans="1:21" s="22" customFormat="1" ht="36" customHeight="1" x14ac:dyDescent="0.25">
      <c r="A12" s="21" t="s">
        <v>0</v>
      </c>
      <c r="B12" s="21" t="s">
        <v>58</v>
      </c>
      <c r="C12" s="21" t="s">
        <v>59</v>
      </c>
      <c r="D12" s="21" t="s">
        <v>31</v>
      </c>
      <c r="E12" s="21" t="s">
        <v>60</v>
      </c>
      <c r="F12" s="21" t="s">
        <v>61</v>
      </c>
      <c r="G12" s="21" t="s">
        <v>34</v>
      </c>
      <c r="H12" s="21" t="s">
        <v>62</v>
      </c>
      <c r="I12" s="21" t="s">
        <v>63</v>
      </c>
      <c r="J12" s="21" t="s">
        <v>64</v>
      </c>
      <c r="K12" s="21" t="s">
        <v>33</v>
      </c>
      <c r="L12" s="21" t="s">
        <v>64</v>
      </c>
      <c r="M12" s="21" t="s">
        <v>33</v>
      </c>
      <c r="N12" s="24" t="s">
        <v>36</v>
      </c>
      <c r="O12" s="24" t="s">
        <v>37</v>
      </c>
      <c r="P12" s="21"/>
      <c r="Q12" s="21"/>
      <c r="R12" s="21"/>
      <c r="S12" s="21"/>
      <c r="T12" s="21"/>
      <c r="U12" s="21"/>
    </row>
    <row r="13" spans="1:21" x14ac:dyDescent="0.25">
      <c r="A13">
        <f>Parameters!G5</f>
        <v>20</v>
      </c>
      <c r="B13">
        <f>Parameters!H5</f>
        <v>0</v>
      </c>
      <c r="C13">
        <f>Parameters!I5</f>
        <v>20</v>
      </c>
      <c r="D13">
        <f>Parameters!$B$11-$A13</f>
        <v>45</v>
      </c>
      <c r="E13" s="3">
        <f>$C13*(1+$C$5)^$D13</f>
        <v>116.82351362922816</v>
      </c>
      <c r="F13" s="3">
        <f>B13*(1+$C$4)^D13</f>
        <v>0</v>
      </c>
      <c r="G13" s="3">
        <f>((1+$C$4)^(D13)-(1+$C$5)^D13)/($C$4-$C$5)</f>
        <v>396.17175729898122</v>
      </c>
      <c r="H13" s="3">
        <f>Parameters!$B$14*Scenario2!C13*(1+Scenario2!$C$4)*Scenario2!G13</f>
        <v>1259.8261882107604</v>
      </c>
      <c r="I13" s="3">
        <f>F13+H13</f>
        <v>1259.8261882107604</v>
      </c>
      <c r="J13" s="3">
        <f>I13/$C$9</f>
        <v>72.403803920158651</v>
      </c>
      <c r="K13" s="23">
        <f>J13/E13</f>
        <v>0.6197708121496176</v>
      </c>
      <c r="L13" s="3">
        <f>I13/$C$10</f>
        <v>76.958801537800326</v>
      </c>
      <c r="M13" s="23">
        <f>L13/E13</f>
        <v>0.65876123005553866</v>
      </c>
      <c r="N13" s="6" t="b">
        <f>ROUND(J13/L13,2)=ROUND($C$10/$C$9,2)</f>
        <v>1</v>
      </c>
      <c r="O13" s="6" t="b">
        <f>ROUND(K13/M13,2)=ROUND($C$10/$C$9,2)</f>
        <v>1</v>
      </c>
      <c r="P13" s="4"/>
      <c r="Q13" s="4"/>
      <c r="R13" s="1"/>
      <c r="S13" s="4"/>
      <c r="T13" s="1"/>
    </row>
    <row r="14" spans="1:21" x14ac:dyDescent="0.25">
      <c r="A14">
        <f>Parameters!G6</f>
        <v>30</v>
      </c>
      <c r="B14">
        <f>Parameters!H6</f>
        <v>10</v>
      </c>
      <c r="C14">
        <f>Parameters!I6</f>
        <v>25</v>
      </c>
      <c r="D14">
        <f>Parameters!$B$11-$A14</f>
        <v>35</v>
      </c>
      <c r="E14" s="3">
        <f>$C14*(1+$C$5)^$D14</f>
        <v>98.652224855298584</v>
      </c>
      <c r="F14" s="3">
        <f t="shared" ref="F14:F17" si="0">B14*(1+$C$4)^D14</f>
        <v>76.860867923123507</v>
      </c>
      <c r="G14" s="3">
        <f t="shared" ref="G14:G17" si="1">((1+$C$4)^(D14)-(1+$C$5)^D14)/($C$4-$C$5)</f>
        <v>186.99988990502038</v>
      </c>
      <c r="H14" s="3">
        <f>Parameters!$B$14*Scenario2!C14*(1+Scenario2!$C$4)*Scenario2!G14</f>
        <v>743.32456237245606</v>
      </c>
      <c r="I14" s="3">
        <f t="shared" ref="I14:I17" si="2">F14+H14</f>
        <v>820.18543029557952</v>
      </c>
      <c r="J14" s="3">
        <f t="shared" ref="J14:J17" si="3">I14/$C$9</f>
        <v>47.137093695148252</v>
      </c>
      <c r="K14" s="23">
        <f t="shared" ref="K14:K17" si="4">J14/E14</f>
        <v>0.47781075149889568</v>
      </c>
      <c r="L14" s="3">
        <f t="shared" ref="L14:L17" si="5">I14/$C$10</f>
        <v>50.102536639564789</v>
      </c>
      <c r="M14" s="23">
        <f t="shared" ref="M14:M17" si="6">L14/E14</f>
        <v>0.50787031628586521</v>
      </c>
      <c r="N14" s="6" t="b">
        <f t="shared" ref="N14:O17" si="7">ROUND(J14/L14,2)=ROUND($C$10/$C$9,2)</f>
        <v>1</v>
      </c>
      <c r="O14" s="6" t="b">
        <f t="shared" si="7"/>
        <v>1</v>
      </c>
      <c r="P14" s="4"/>
      <c r="Q14" s="4"/>
      <c r="R14" s="1"/>
      <c r="S14" s="4"/>
      <c r="T14" s="1"/>
    </row>
    <row r="15" spans="1:21" x14ac:dyDescent="0.25">
      <c r="A15">
        <f>Parameters!G7</f>
        <v>40</v>
      </c>
      <c r="B15">
        <f>Parameters!H7</f>
        <v>25</v>
      </c>
      <c r="C15">
        <f>Parameters!I7</f>
        <v>30</v>
      </c>
      <c r="D15">
        <f>Parameters!$B$11-$A15</f>
        <v>25</v>
      </c>
      <c r="E15" s="3">
        <f>$C15*(1+$C$5)^$D15</f>
        <v>79.975089944622695</v>
      </c>
      <c r="F15" s="3">
        <f t="shared" si="0"/>
        <v>107.29676799358721</v>
      </c>
      <c r="G15" s="3">
        <f t="shared" si="1"/>
        <v>81.301719412803251</v>
      </c>
      <c r="H15" s="3">
        <f>Parameters!$B$14*Scenario2!C15*(1+Scenario2!$C$4)*Scenario2!G15</f>
        <v>387.80920159907157</v>
      </c>
      <c r="I15" s="3">
        <f t="shared" si="2"/>
        <v>495.10596959265877</v>
      </c>
      <c r="J15" s="3">
        <f t="shared" si="3"/>
        <v>28.45436606854361</v>
      </c>
      <c r="K15" s="23">
        <f t="shared" si="4"/>
        <v>0.35579036032652567</v>
      </c>
      <c r="L15" s="3">
        <f t="shared" si="5"/>
        <v>30.244459442596774</v>
      </c>
      <c r="M15" s="23">
        <f t="shared" si="6"/>
        <v>0.37817349706688674</v>
      </c>
      <c r="N15" s="6" t="b">
        <f t="shared" si="7"/>
        <v>1</v>
      </c>
      <c r="O15" s="6" t="b">
        <f t="shared" si="7"/>
        <v>1</v>
      </c>
      <c r="P15" s="4"/>
      <c r="Q15" s="4"/>
      <c r="R15" s="1"/>
      <c r="S15" s="4"/>
      <c r="T15" s="1"/>
    </row>
    <row r="16" spans="1:21" x14ac:dyDescent="0.25">
      <c r="A16">
        <f>Parameters!G8</f>
        <v>50</v>
      </c>
      <c r="B16">
        <f>Parameters!H8</f>
        <v>50</v>
      </c>
      <c r="C16">
        <f>Parameters!I8</f>
        <v>35</v>
      </c>
      <c r="D16">
        <f>Parameters!$B$11-$A16</f>
        <v>15</v>
      </c>
      <c r="E16" s="3">
        <f>$C16*(1+$C$5)^$D16</f>
        <v>63.033022692742087</v>
      </c>
      <c r="F16" s="3">
        <f t="shared" si="0"/>
        <v>119.82790965498462</v>
      </c>
      <c r="G16" s="3">
        <f t="shared" si="1"/>
        <v>29.78073437963879</v>
      </c>
      <c r="H16" s="3">
        <f>Parameters!$B$14*Scenario2!C16*(1+Scenario2!$C$4)*Scenario2!G16</f>
        <v>165.72978682268987</v>
      </c>
      <c r="I16" s="3">
        <f t="shared" si="2"/>
        <v>285.55769647767448</v>
      </c>
      <c r="J16" s="3">
        <f t="shared" si="3"/>
        <v>16.411361866533017</v>
      </c>
      <c r="K16" s="23">
        <f t="shared" si="4"/>
        <v>0.26036133387623023</v>
      </c>
      <c r="L16" s="3">
        <f t="shared" si="5"/>
        <v>17.443817485670738</v>
      </c>
      <c r="M16" s="23">
        <f t="shared" si="6"/>
        <v>0.27674093261720256</v>
      </c>
      <c r="N16" s="6" t="b">
        <f t="shared" si="7"/>
        <v>1</v>
      </c>
      <c r="O16" s="6" t="b">
        <f t="shared" si="7"/>
        <v>1</v>
      </c>
      <c r="P16" s="4"/>
      <c r="Q16" s="4"/>
      <c r="R16" s="1"/>
      <c r="S16" s="4"/>
      <c r="T16" s="1"/>
    </row>
    <row r="17" spans="1:21" x14ac:dyDescent="0.25">
      <c r="A17">
        <f>Parameters!G9</f>
        <v>60</v>
      </c>
      <c r="B17">
        <f>Parameters!H9</f>
        <v>100</v>
      </c>
      <c r="C17">
        <f>Parameters!I9</f>
        <v>40</v>
      </c>
      <c r="D17">
        <f>Parameters!$B$11-$A17</f>
        <v>5</v>
      </c>
      <c r="E17" s="3">
        <f>$C17*(1+$C$5)^$D17</f>
        <v>48.66611609600001</v>
      </c>
      <c r="F17" s="3">
        <f t="shared" si="0"/>
        <v>133.82255776000005</v>
      </c>
      <c r="G17" s="3">
        <f t="shared" si="1"/>
        <v>6.0786337600000087</v>
      </c>
      <c r="H17" s="3">
        <f>Parameters!$B$14*Scenario2!C17*(1+Scenario2!$C$4)*Scenario2!G17</f>
        <v>38.660110713600055</v>
      </c>
      <c r="I17" s="3">
        <f t="shared" si="2"/>
        <v>172.48266847360011</v>
      </c>
      <c r="J17" s="3">
        <f t="shared" si="3"/>
        <v>9.9127970387126503</v>
      </c>
      <c r="K17" s="23">
        <f t="shared" si="4"/>
        <v>0.20368991474804393</v>
      </c>
      <c r="L17" s="3">
        <f t="shared" si="5"/>
        <v>10.536421274606289</v>
      </c>
      <c r="M17" s="23">
        <f t="shared" si="6"/>
        <v>0.21650425634587067</v>
      </c>
      <c r="N17" s="6" t="b">
        <f t="shared" si="7"/>
        <v>1</v>
      </c>
      <c r="O17" s="6" t="b">
        <f t="shared" si="7"/>
        <v>1</v>
      </c>
      <c r="P17" s="4"/>
      <c r="Q17" s="4"/>
      <c r="R17" s="1"/>
      <c r="S17" s="4"/>
      <c r="T17" s="1"/>
    </row>
    <row r="18" spans="1:21" x14ac:dyDescent="0.25"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  <c r="Q18" s="4"/>
      <c r="R18" s="1"/>
      <c r="S18" s="4"/>
      <c r="T18" s="1"/>
    </row>
    <row r="19" spans="1:21" x14ac:dyDescent="0.25">
      <c r="A19" s="5"/>
      <c r="B19" s="5"/>
      <c r="C19" s="10" t="s">
        <v>15</v>
      </c>
      <c r="D19" s="20" t="str">
        <f>IF(AVERAGE(D13:D17)+AVERAGE(A13:A17)=Parameters!$B$11,"OK","Error!")</f>
        <v>OK</v>
      </c>
      <c r="E19" s="6"/>
      <c r="F19" s="20" t="str">
        <f>IF(AND(F13&lt;F14,F14&lt;F15,F15&lt;F16,F16&lt;F17),"OK","Error!")</f>
        <v>OK</v>
      </c>
      <c r="G19" s="6"/>
      <c r="H19" s="20" t="str">
        <f>IF(AND(H13&gt;H14,H14&gt;H15,H15&gt;H16,H16&gt;H17),"OK","Error!")</f>
        <v>OK</v>
      </c>
      <c r="I19" s="6"/>
      <c r="J19" s="6"/>
      <c r="K19" s="6"/>
      <c r="L19" s="6"/>
      <c r="M19" s="6"/>
      <c r="N19" s="20"/>
      <c r="O19" s="20"/>
      <c r="P19" s="7"/>
      <c r="Q19" s="7"/>
      <c r="R19" s="8"/>
      <c r="S19" s="7"/>
      <c r="T19" s="8"/>
      <c r="U19" s="5"/>
    </row>
    <row r="21" spans="1:2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7"/>
      <c r="R21" s="8"/>
      <c r="S21" s="7"/>
      <c r="T21" s="8"/>
    </row>
  </sheetData>
  <mergeCells count="3">
    <mergeCell ref="J11:K11"/>
    <mergeCell ref="L11:M11"/>
    <mergeCell ref="N11:O11"/>
  </mergeCells>
  <pageMargins left="0.7" right="0.7" top="0.75" bottom="0.75" header="0.3" footer="0.3"/>
  <pageSetup paperSize="9" scale="76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1A02-ED83-483A-B995-70895FB91927}">
  <sheetPr>
    <tabColor rgb="FF92D050"/>
    <pageSetUpPr fitToPage="1"/>
  </sheetPr>
  <dimension ref="A1:U21"/>
  <sheetViews>
    <sheetView topLeftCell="A4" workbookViewId="0">
      <selection activeCell="P32" sqref="P32"/>
    </sheetView>
  </sheetViews>
  <sheetFormatPr defaultRowHeight="15" x14ac:dyDescent="0.25"/>
  <cols>
    <col min="1" max="1" width="14" customWidth="1"/>
    <col min="2" max="2" width="14" bestFit="1" customWidth="1"/>
    <col min="3" max="3" width="10.140625" bestFit="1" customWidth="1"/>
    <col min="4" max="4" width="11.42578125" bestFit="1" customWidth="1"/>
    <col min="5" max="5" width="10.140625" bestFit="1" customWidth="1"/>
    <col min="6" max="6" width="14.7109375" bestFit="1" customWidth="1"/>
    <col min="7" max="7" width="19.42578125" bestFit="1" customWidth="1"/>
    <col min="8" max="8" width="27.28515625" bestFit="1" customWidth="1"/>
    <col min="9" max="9" width="15.7109375" bestFit="1" customWidth="1"/>
    <col min="10" max="10" width="11.42578125" bestFit="1" customWidth="1"/>
    <col min="11" max="11" width="15" bestFit="1" customWidth="1"/>
    <col min="12" max="12" width="11.42578125" bestFit="1" customWidth="1"/>
    <col min="13" max="13" width="15" bestFit="1" customWidth="1"/>
    <col min="14" max="14" width="9.85546875" bestFit="1" customWidth="1"/>
    <col min="15" max="15" width="15" bestFit="1" customWidth="1"/>
    <col min="16" max="16" width="10.140625" bestFit="1" customWidth="1"/>
    <col min="18" max="18" width="5.5703125" customWidth="1"/>
    <col min="19" max="19" width="10.140625" bestFit="1" customWidth="1"/>
    <col min="20" max="20" width="5.5703125" customWidth="1"/>
    <col min="23" max="23" width="15.7109375" bestFit="1" customWidth="1"/>
  </cols>
  <sheetData>
    <row r="1" spans="1:21" x14ac:dyDescent="0.25">
      <c r="A1" s="16" t="s">
        <v>54</v>
      </c>
      <c r="B1" s="16"/>
    </row>
    <row r="3" spans="1:21" x14ac:dyDescent="0.25">
      <c r="A3" s="9" t="s">
        <v>20</v>
      </c>
    </row>
    <row r="4" spans="1:21" x14ac:dyDescent="0.25">
      <c r="A4" t="s">
        <v>3</v>
      </c>
      <c r="C4" s="1">
        <f>Parameters!C5</f>
        <v>0.06</v>
      </c>
    </row>
    <row r="5" spans="1:21" x14ac:dyDescent="0.25">
      <c r="A5" t="s">
        <v>4</v>
      </c>
      <c r="C5" s="1">
        <f>Parameters!C6</f>
        <v>0.04</v>
      </c>
    </row>
    <row r="6" spans="1:21" x14ac:dyDescent="0.25">
      <c r="A6" t="s">
        <v>1</v>
      </c>
      <c r="C6" s="1">
        <f>Parameters!C7</f>
        <v>0.02</v>
      </c>
    </row>
    <row r="8" spans="1:21" x14ac:dyDescent="0.25">
      <c r="A8" s="9" t="s">
        <v>29</v>
      </c>
      <c r="D8" s="5" t="s">
        <v>15</v>
      </c>
    </row>
    <row r="9" spans="1:21" x14ac:dyDescent="0.25">
      <c r="A9" t="s">
        <v>5</v>
      </c>
      <c r="C9" s="17">
        <f>HLOOKUP(C6+1%,CleanData!$A$4:$E$9,5,FALSE)</f>
        <v>15.8</v>
      </c>
      <c r="D9" s="5" t="str">
        <f>IF(C9&lt;Scenario2!C9,"OK","Error")</f>
        <v>OK</v>
      </c>
    </row>
    <row r="10" spans="1:21" x14ac:dyDescent="0.25">
      <c r="A10" t="s">
        <v>32</v>
      </c>
      <c r="C10" s="3">
        <f>(1+$C$4)*(1-((1+$C$6)/(1+$C$4))^(Parameters!$B$13-Parameters!$B$12))/($C$4-$C$6)</f>
        <v>14.221876317791843</v>
      </c>
      <c r="D10" s="5" t="str">
        <f>IF(C10&lt;Scenario2!C10,"OK","Error")</f>
        <v>OK</v>
      </c>
    </row>
    <row r="11" spans="1:21" x14ac:dyDescent="0.25">
      <c r="J11" s="38" t="s">
        <v>6</v>
      </c>
      <c r="K11" s="38"/>
      <c r="L11" s="38" t="s">
        <v>7</v>
      </c>
      <c r="M11" s="38"/>
      <c r="N11" s="39" t="s">
        <v>35</v>
      </c>
      <c r="O11" s="39"/>
    </row>
    <row r="12" spans="1:21" s="22" customFormat="1" ht="36" customHeight="1" x14ac:dyDescent="0.25">
      <c r="A12" s="21" t="s">
        <v>0</v>
      </c>
      <c r="B12" s="21" t="s">
        <v>58</v>
      </c>
      <c r="C12" s="21" t="s">
        <v>59</v>
      </c>
      <c r="D12" s="28" t="s">
        <v>31</v>
      </c>
      <c r="E12" s="21" t="s">
        <v>60</v>
      </c>
      <c r="F12" s="21" t="s">
        <v>61</v>
      </c>
      <c r="G12" s="21" t="s">
        <v>34</v>
      </c>
      <c r="H12" s="21" t="s">
        <v>62</v>
      </c>
      <c r="I12" s="21" t="s">
        <v>63</v>
      </c>
      <c r="J12" s="21" t="s">
        <v>64</v>
      </c>
      <c r="K12" s="21" t="s">
        <v>33</v>
      </c>
      <c r="L12" s="21" t="s">
        <v>64</v>
      </c>
      <c r="M12" s="21" t="s">
        <v>33</v>
      </c>
      <c r="N12" s="24" t="s">
        <v>36</v>
      </c>
      <c r="O12" s="24" t="s">
        <v>37</v>
      </c>
      <c r="P12" s="21"/>
      <c r="Q12" s="21"/>
      <c r="R12" s="21"/>
      <c r="S12" s="21"/>
      <c r="T12" s="21"/>
      <c r="U12" s="21"/>
    </row>
    <row r="13" spans="1:21" x14ac:dyDescent="0.25">
      <c r="A13">
        <f>Parameters!G5</f>
        <v>20</v>
      </c>
      <c r="B13">
        <f>Parameters!H5</f>
        <v>0</v>
      </c>
      <c r="C13">
        <f>Parameters!I5</f>
        <v>20</v>
      </c>
      <c r="D13" s="32">
        <f>Parameters!$B$12-$A13</f>
        <v>50</v>
      </c>
      <c r="E13" s="3">
        <f>$C13*(1+$C$5)^$D13</f>
        <v>142.13366692556644</v>
      </c>
      <c r="F13" s="3">
        <f>B13*(1+$C$4)^D13</f>
        <v>0</v>
      </c>
      <c r="G13" s="3">
        <f>((1+$C$4)^(D13)-(1+$C$5)^D13)/($C$4-$C$5)</f>
        <v>565.67354643565841</v>
      </c>
      <c r="H13" s="3">
        <f>Parameters!$B$14*'Scenario2 (ret age)'!C13*(1+'Scenario2 (ret age)'!$C$4)*'Scenario2 (ret age)'!G13</f>
        <v>1798.8418776653939</v>
      </c>
      <c r="I13" s="3">
        <f>F13+H13</f>
        <v>1798.8418776653939</v>
      </c>
      <c r="J13" s="3">
        <f>I13/$C$9</f>
        <v>113.8507517509743</v>
      </c>
      <c r="K13" s="23">
        <f>J13/E13</f>
        <v>0.80101185182674883</v>
      </c>
      <c r="L13" s="3">
        <f>I13/$C$10</f>
        <v>126.48414579551699</v>
      </c>
      <c r="M13" s="23">
        <f>L13/E13</f>
        <v>0.88989574765389745</v>
      </c>
      <c r="N13" s="6" t="b">
        <f>ROUND(J13/L13,2)=ROUND($C$10/$C$9,2)</f>
        <v>1</v>
      </c>
      <c r="O13" s="6" t="b">
        <f>ROUND(K13/M13,2)=ROUND($C$10/$C$9,2)</f>
        <v>1</v>
      </c>
      <c r="P13" s="4"/>
      <c r="Q13" s="4"/>
      <c r="R13" s="1"/>
      <c r="S13" s="4"/>
      <c r="T13" s="1"/>
    </row>
    <row r="14" spans="1:21" x14ac:dyDescent="0.25">
      <c r="A14">
        <f>Parameters!G6</f>
        <v>30</v>
      </c>
      <c r="B14">
        <f>Parameters!H6</f>
        <v>10</v>
      </c>
      <c r="C14">
        <f>Parameters!I6</f>
        <v>25</v>
      </c>
      <c r="D14" s="32">
        <f>Parameters!$B$12-$A14</f>
        <v>40</v>
      </c>
      <c r="E14" s="3">
        <f>$C14*(1+$C$5)^$D14</f>
        <v>120.02551569841648</v>
      </c>
      <c r="F14" s="3">
        <f t="shared" ref="F14:F17" si="0">B14*(1+$C$4)^D14</f>
        <v>102.85717937125929</v>
      </c>
      <c r="G14" s="3">
        <f t="shared" ref="G14:G17" si="1">((1+$C$4)^(D14)-(1+$C$5)^D14)/($C$4-$C$5)</f>
        <v>274.23486545946349</v>
      </c>
      <c r="H14" s="3">
        <f>Parameters!$B$14*'Scenario2 (ret age)'!C14*(1+'Scenario2 (ret age)'!$C$4)*'Scenario2 (ret age)'!G14</f>
        <v>1090.0835902013673</v>
      </c>
      <c r="I14" s="3">
        <f t="shared" ref="I14:I17" si="2">F14+H14</f>
        <v>1192.9407695726266</v>
      </c>
      <c r="J14" s="3">
        <f t="shared" ref="J14:J17" si="3">I14/$C$9</f>
        <v>75.502580352697876</v>
      </c>
      <c r="K14" s="23">
        <f t="shared" ref="K14:K17" si="4">J14/E14</f>
        <v>0.62905441325001521</v>
      </c>
      <c r="L14" s="3">
        <f t="shared" ref="L14:L17" si="5">I14/$C$10</f>
        <v>83.880687956780676</v>
      </c>
      <c r="M14" s="23">
        <f t="shared" ref="M14:M17" si="6">L14/E14</f>
        <v>0.69885713440752439</v>
      </c>
      <c r="N14" s="6" t="b">
        <f t="shared" ref="N14:O17" si="7">ROUND(J14/L14,2)=ROUND($C$10/$C$9,2)</f>
        <v>1</v>
      </c>
      <c r="O14" s="6" t="b">
        <f t="shared" si="7"/>
        <v>1</v>
      </c>
      <c r="P14" s="4"/>
      <c r="Q14" s="4"/>
      <c r="R14" s="1"/>
      <c r="S14" s="4"/>
      <c r="T14" s="1"/>
    </row>
    <row r="15" spans="1:21" x14ac:dyDescent="0.25">
      <c r="A15">
        <f>Parameters!G7</f>
        <v>40</v>
      </c>
      <c r="B15">
        <f>Parameters!H7</f>
        <v>25</v>
      </c>
      <c r="C15">
        <f>Parameters!I7</f>
        <v>30</v>
      </c>
      <c r="D15" s="32">
        <f>Parameters!$B$12-$A15</f>
        <v>30</v>
      </c>
      <c r="E15" s="3">
        <f>$C15*(1+$C$5)^$D15</f>
        <v>97.301925300826269</v>
      </c>
      <c r="F15" s="3">
        <f t="shared" si="0"/>
        <v>143.58727932283148</v>
      </c>
      <c r="G15" s="3">
        <f t="shared" si="1"/>
        <v>125.00468314428588</v>
      </c>
      <c r="H15" s="3">
        <f>Parameters!$B$14*'Scenario2 (ret age)'!C15*(1+'Scenario2 (ret age)'!$C$4)*'Scenario2 (ret age)'!G15</f>
        <v>596.27233859824366</v>
      </c>
      <c r="I15" s="3">
        <f t="shared" si="2"/>
        <v>739.85961792107514</v>
      </c>
      <c r="J15" s="3">
        <f t="shared" si="3"/>
        <v>46.826558096270574</v>
      </c>
      <c r="K15" s="23">
        <f t="shared" si="4"/>
        <v>0.48125006726740416</v>
      </c>
      <c r="L15" s="3">
        <f t="shared" si="5"/>
        <v>52.022644648898854</v>
      </c>
      <c r="M15" s="23">
        <f t="shared" si="6"/>
        <v>0.53465175008676924</v>
      </c>
      <c r="N15" s="6" t="b">
        <f t="shared" si="7"/>
        <v>1</v>
      </c>
      <c r="O15" s="6" t="b">
        <f t="shared" si="7"/>
        <v>1</v>
      </c>
      <c r="P15" s="4"/>
      <c r="Q15" s="4"/>
      <c r="R15" s="1"/>
      <c r="S15" s="4"/>
      <c r="T15" s="1"/>
    </row>
    <row r="16" spans="1:21" x14ac:dyDescent="0.25">
      <c r="A16">
        <f>Parameters!G8</f>
        <v>50</v>
      </c>
      <c r="B16">
        <f>Parameters!H8</f>
        <v>50</v>
      </c>
      <c r="C16">
        <f>Parameters!I8</f>
        <v>35</v>
      </c>
      <c r="D16" s="32">
        <f>Parameters!$B$12-$A16</f>
        <v>20</v>
      </c>
      <c r="E16" s="3">
        <f>$C16*(1+$C$5)^$D16</f>
        <v>76.689310006169748</v>
      </c>
      <c r="F16" s="3">
        <f t="shared" si="0"/>
        <v>160.35677361064239</v>
      </c>
      <c r="G16" s="3">
        <f t="shared" si="1"/>
        <v>50.800616458971348</v>
      </c>
      <c r="H16" s="3">
        <f>Parameters!$B$14*'Scenario2 (ret age)'!C16*(1+'Scenario2 (ret age)'!$C$4)*'Scenario2 (ret age)'!G16</f>
        <v>282.7054305941756</v>
      </c>
      <c r="I16" s="3">
        <f t="shared" si="2"/>
        <v>443.06220420481799</v>
      </c>
      <c r="J16" s="3">
        <f t="shared" si="3"/>
        <v>28.041911658532783</v>
      </c>
      <c r="K16" s="23">
        <f t="shared" si="4"/>
        <v>0.36565606935669098</v>
      </c>
      <c r="L16" s="3">
        <f t="shared" si="5"/>
        <v>31.153568931726582</v>
      </c>
      <c r="M16" s="23">
        <f t="shared" si="6"/>
        <v>0.40623091965777552</v>
      </c>
      <c r="N16" s="6" t="b">
        <f t="shared" si="7"/>
        <v>1</v>
      </c>
      <c r="O16" s="6" t="b">
        <f t="shared" si="7"/>
        <v>1</v>
      </c>
      <c r="P16" s="4"/>
      <c r="Q16" s="4"/>
      <c r="R16" s="1"/>
      <c r="S16" s="4"/>
      <c r="T16" s="1"/>
    </row>
    <row r="17" spans="1:21" x14ac:dyDescent="0.25">
      <c r="A17">
        <f>Parameters!G9</f>
        <v>60</v>
      </c>
      <c r="B17">
        <f>Parameters!H9</f>
        <v>100</v>
      </c>
      <c r="C17">
        <f>Parameters!I9</f>
        <v>40</v>
      </c>
      <c r="D17" s="32">
        <f>Parameters!$B$12-$A17</f>
        <v>10</v>
      </c>
      <c r="E17" s="3">
        <f>$C17*(1+$C$5)^$D17</f>
        <v>59.209771396733785</v>
      </c>
      <c r="F17" s="3">
        <f t="shared" si="0"/>
        <v>179.08476965428545</v>
      </c>
      <c r="G17" s="3">
        <f t="shared" si="1"/>
        <v>15.530170581225502</v>
      </c>
      <c r="H17" s="3">
        <f>Parameters!$B$14*'Scenario2 (ret age)'!C17*(1+'Scenario2 (ret age)'!$C$4)*'Scenario2 (ret age)'!G17</f>
        <v>98.771884896594202</v>
      </c>
      <c r="I17" s="3">
        <f t="shared" si="2"/>
        <v>277.85665455087963</v>
      </c>
      <c r="J17" s="3">
        <f t="shared" si="3"/>
        <v>17.585864212080988</v>
      </c>
      <c r="K17" s="23">
        <f t="shared" si="4"/>
        <v>0.29700949348794625</v>
      </c>
      <c r="L17" s="3">
        <f t="shared" si="5"/>
        <v>19.5372711969992</v>
      </c>
      <c r="M17" s="23">
        <f t="shared" si="6"/>
        <v>0.32996700943312446</v>
      </c>
      <c r="N17" s="6" t="b">
        <f t="shared" si="7"/>
        <v>1</v>
      </c>
      <c r="O17" s="6" t="b">
        <f t="shared" si="7"/>
        <v>1</v>
      </c>
      <c r="P17" s="4"/>
      <c r="Q17" s="4"/>
      <c r="R17" s="1"/>
      <c r="S17" s="4"/>
      <c r="T17" s="1"/>
    </row>
    <row r="18" spans="1:21" x14ac:dyDescent="0.25">
      <c r="D18" s="3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  <c r="Q18" s="4"/>
      <c r="R18" s="1"/>
      <c r="S18" s="4"/>
      <c r="T18" s="1"/>
    </row>
    <row r="19" spans="1:21" x14ac:dyDescent="0.25">
      <c r="A19" s="5"/>
      <c r="B19" s="5"/>
      <c r="C19" s="10" t="s">
        <v>15</v>
      </c>
      <c r="D19" s="33" t="str">
        <f>IF(AVERAGE(D13:D17)+AVERAGE(A13:A17)=Parameters!$B$12,"OK","Error!")</f>
        <v>OK</v>
      </c>
      <c r="E19" s="6"/>
      <c r="F19" s="20" t="str">
        <f>IF(AND(F13&lt;F14,F14&lt;F15,F15&lt;F16,F16&lt;F17),"OK","Error!")</f>
        <v>OK</v>
      </c>
      <c r="G19" s="6"/>
      <c r="H19" s="20" t="str">
        <f>IF(AND(H13&gt;H14,H14&gt;H15,H15&gt;H16,H16&gt;H17),"OK","Error!")</f>
        <v>OK</v>
      </c>
      <c r="I19" s="6"/>
      <c r="J19" s="6"/>
      <c r="K19" s="6"/>
      <c r="L19" s="6"/>
      <c r="M19" s="6"/>
      <c r="N19" s="20"/>
      <c r="O19" s="20"/>
      <c r="P19" s="7"/>
      <c r="Q19" s="7"/>
      <c r="R19" s="8"/>
      <c r="S19" s="7"/>
      <c r="T19" s="8"/>
      <c r="U19" s="5"/>
    </row>
    <row r="21" spans="1:2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7"/>
      <c r="R21" s="8"/>
      <c r="S21" s="7"/>
      <c r="T21" s="8"/>
    </row>
  </sheetData>
  <mergeCells count="3">
    <mergeCell ref="J11:K11"/>
    <mergeCell ref="L11:M11"/>
    <mergeCell ref="N11:O11"/>
  </mergeCells>
  <pageMargins left="0.7" right="0.7" top="0.75" bottom="0.75" header="0.3" footer="0.3"/>
  <pageSetup paperSize="9" scale="76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BF68-86FD-4164-B6F3-B480E1743C93}">
  <sheetPr>
    <pageSetUpPr fitToPage="1"/>
  </sheetPr>
  <dimension ref="A1:U21"/>
  <sheetViews>
    <sheetView workbookViewId="0">
      <selection activeCell="P32" sqref="P32"/>
    </sheetView>
  </sheetViews>
  <sheetFormatPr defaultRowHeight="15" x14ac:dyDescent="0.25"/>
  <cols>
    <col min="1" max="1" width="8.85546875" customWidth="1"/>
    <col min="2" max="2" width="14" bestFit="1" customWidth="1"/>
    <col min="3" max="3" width="10.140625" bestFit="1" customWidth="1"/>
    <col min="4" max="4" width="13.7109375" customWidth="1"/>
    <col min="5" max="5" width="10.140625" bestFit="1" customWidth="1"/>
    <col min="6" max="6" width="15.28515625" customWidth="1"/>
    <col min="7" max="7" width="20.28515625" customWidth="1"/>
    <col min="8" max="8" width="27.28515625" bestFit="1" customWidth="1"/>
    <col min="9" max="13" width="15.28515625" customWidth="1"/>
    <col min="14" max="14" width="9.85546875" bestFit="1" customWidth="1"/>
    <col min="15" max="15" width="15" bestFit="1" customWidth="1"/>
    <col min="16" max="16" width="10.140625" bestFit="1" customWidth="1"/>
    <col min="18" max="18" width="5.5703125" customWidth="1"/>
    <col min="19" max="19" width="10.140625" bestFit="1" customWidth="1"/>
    <col min="20" max="20" width="5.5703125" customWidth="1"/>
    <col min="23" max="23" width="15.7109375" bestFit="1" customWidth="1"/>
  </cols>
  <sheetData>
    <row r="1" spans="1:21" x14ac:dyDescent="0.25">
      <c r="A1" s="16" t="s">
        <v>19</v>
      </c>
      <c r="B1" s="16"/>
    </row>
    <row r="3" spans="1:21" x14ac:dyDescent="0.25">
      <c r="A3" s="9" t="s">
        <v>20</v>
      </c>
    </row>
    <row r="4" spans="1:21" x14ac:dyDescent="0.25">
      <c r="A4" t="s">
        <v>3</v>
      </c>
      <c r="C4" s="1">
        <f>Parameters!D5</f>
        <v>0.08</v>
      </c>
    </row>
    <row r="5" spans="1:21" x14ac:dyDescent="0.25">
      <c r="A5" t="s">
        <v>4</v>
      </c>
      <c r="C5" s="1">
        <f>Parameters!D6</f>
        <v>0.05</v>
      </c>
    </row>
    <row r="6" spans="1:21" x14ac:dyDescent="0.25">
      <c r="A6" t="s">
        <v>1</v>
      </c>
      <c r="C6" s="1">
        <f>Parameters!D7</f>
        <v>0.03</v>
      </c>
    </row>
    <row r="8" spans="1:21" x14ac:dyDescent="0.25">
      <c r="A8" s="9" t="s">
        <v>29</v>
      </c>
      <c r="D8" s="5" t="s">
        <v>15</v>
      </c>
    </row>
    <row r="9" spans="1:21" x14ac:dyDescent="0.25">
      <c r="A9" t="s">
        <v>5</v>
      </c>
      <c r="C9" s="17">
        <f>HLOOKUP(C6+1%,CleanData!$B$4:$E$7,4,FALSE)</f>
        <v>15.8</v>
      </c>
      <c r="D9" s="5" t="str">
        <f>IF(AND(C9&lt;Scenario1!C9,C9&lt;Scenario2!C9),"OK","Error")</f>
        <v>OK</v>
      </c>
    </row>
    <row r="10" spans="1:21" x14ac:dyDescent="0.25">
      <c r="A10" t="s">
        <v>32</v>
      </c>
      <c r="C10" s="3">
        <f>(1+$C$4)*(1-((1+$C$6)/(1+$C$4))^(Parameters!$B$13-Parameters!$B$11))/($C$4-$C$6)</f>
        <v>14.996252160554254</v>
      </c>
      <c r="D10" s="5" t="str">
        <f>IF(AND(C10&lt;Scenario1!C10,C10&lt;Scenario2!C10),"OK","Error")</f>
        <v>OK</v>
      </c>
    </row>
    <row r="11" spans="1:21" x14ac:dyDescent="0.25">
      <c r="J11" s="38" t="s">
        <v>6</v>
      </c>
      <c r="K11" s="38"/>
      <c r="L11" s="38" t="s">
        <v>7</v>
      </c>
      <c r="M11" s="38"/>
      <c r="N11" s="39" t="s">
        <v>35</v>
      </c>
      <c r="O11" s="39"/>
    </row>
    <row r="12" spans="1:21" s="22" customFormat="1" ht="36" customHeight="1" x14ac:dyDescent="0.25">
      <c r="A12" s="21" t="s">
        <v>0</v>
      </c>
      <c r="B12" s="21" t="s">
        <v>58</v>
      </c>
      <c r="C12" s="21" t="s">
        <v>59</v>
      </c>
      <c r="D12" s="21" t="s">
        <v>31</v>
      </c>
      <c r="E12" s="21" t="s">
        <v>60</v>
      </c>
      <c r="F12" s="21" t="s">
        <v>61</v>
      </c>
      <c r="G12" s="21" t="s">
        <v>34</v>
      </c>
      <c r="H12" s="21" t="s">
        <v>62</v>
      </c>
      <c r="I12" s="21" t="s">
        <v>63</v>
      </c>
      <c r="J12" s="21" t="s">
        <v>64</v>
      </c>
      <c r="K12" s="21" t="s">
        <v>33</v>
      </c>
      <c r="L12" s="21" t="s">
        <v>64</v>
      </c>
      <c r="M12" s="21" t="s">
        <v>33</v>
      </c>
      <c r="N12" s="24" t="s">
        <v>36</v>
      </c>
      <c r="O12" s="24" t="s">
        <v>37</v>
      </c>
      <c r="P12" s="21"/>
      <c r="Q12" s="21"/>
      <c r="R12" s="21"/>
      <c r="S12" s="21"/>
      <c r="T12" s="21"/>
      <c r="U12" s="21"/>
    </row>
    <row r="13" spans="1:21" x14ac:dyDescent="0.25">
      <c r="A13">
        <f>Parameters!G5</f>
        <v>20</v>
      </c>
      <c r="B13">
        <f>Parameters!H5</f>
        <v>0</v>
      </c>
      <c r="C13">
        <f>Parameters!I5</f>
        <v>20</v>
      </c>
      <c r="D13">
        <f>Parameters!$B$11-$A13</f>
        <v>45</v>
      </c>
      <c r="E13" s="3">
        <f>$C13*(1+$C$5)^$D13</f>
        <v>179.70015586985625</v>
      </c>
      <c r="F13" s="3">
        <f>B13*(1+$C$4)^D13</f>
        <v>0</v>
      </c>
      <c r="G13" s="3">
        <f>((1+$C$4)^(D13)-(1+$C$5)^D13)/($C$4-$C$5)</f>
        <v>764.51471989334755</v>
      </c>
      <c r="H13" s="3">
        <f>Parameters!$B$14*Scenario3!C13*(1+Scenario3!$C$4)*Scenario3!G13</f>
        <v>2477.0276924544464</v>
      </c>
      <c r="I13" s="3">
        <f>F13+H13</f>
        <v>2477.0276924544464</v>
      </c>
      <c r="J13" s="3">
        <f>I13/$C$9</f>
        <v>156.77390458572444</v>
      </c>
      <c r="K13" s="23">
        <f>J13/E13</f>
        <v>0.87241941347710561</v>
      </c>
      <c r="L13" s="3">
        <f>I13/$C$10</f>
        <v>165.17644981790548</v>
      </c>
      <c r="M13" s="23">
        <f>L13/E13</f>
        <v>0.91917811099468816</v>
      </c>
      <c r="N13" s="6" t="b">
        <f>ROUND(J13/L13,2)=ROUND($C$10/$C$9,2)</f>
        <v>1</v>
      </c>
      <c r="O13" s="6" t="b">
        <f>ROUND(K13/M13,2)=ROUND($C$10/$C$9,2)</f>
        <v>1</v>
      </c>
      <c r="P13" s="4"/>
      <c r="Q13" s="4"/>
      <c r="R13" s="1"/>
      <c r="S13" s="4"/>
      <c r="T13" s="1"/>
    </row>
    <row r="14" spans="1:21" x14ac:dyDescent="0.25">
      <c r="A14">
        <f>Parameters!G6</f>
        <v>30</v>
      </c>
      <c r="B14">
        <f>Parameters!H6</f>
        <v>10</v>
      </c>
      <c r="C14">
        <f>Parameters!I6</f>
        <v>25</v>
      </c>
      <c r="D14">
        <f>Parameters!$B$11-$A14</f>
        <v>35</v>
      </c>
      <c r="E14" s="3">
        <f>$C14*(1+$C$5)^$D14</f>
        <v>137.90038418980629</v>
      </c>
      <c r="F14" s="3">
        <f t="shared" ref="F14:F17" si="0">B14*(1+$C$4)^D14</f>
        <v>147.85344294320561</v>
      </c>
      <c r="G14" s="3">
        <f t="shared" ref="G14:G17" si="1">((1+$C$4)^(D14)-(1+$C$5)^D14)/($C$4-$C$5)</f>
        <v>308.9776308909436</v>
      </c>
      <c r="H14" s="3">
        <f>Parameters!$B$14*Scenario3!C14*(1+Scenario3!$C$4)*Scenario3!G14</f>
        <v>1251.3594051083219</v>
      </c>
      <c r="I14" s="3">
        <f t="shared" ref="I14:I17" si="2">F14+H14</f>
        <v>1399.2128480515275</v>
      </c>
      <c r="J14" s="3">
        <f t="shared" ref="J14:J17" si="3">I14/$C$9</f>
        <v>88.557775193134646</v>
      </c>
      <c r="K14" s="23">
        <f t="shared" ref="K14:K17" si="4">J14/E14</f>
        <v>0.64218657339811025</v>
      </c>
      <c r="L14" s="3">
        <f t="shared" ref="L14:L17" si="5">I14/$C$10</f>
        <v>93.304169139805481</v>
      </c>
      <c r="M14" s="23">
        <f t="shared" ref="M14:M17" si="6">L14/E14</f>
        <v>0.67660557791761833</v>
      </c>
      <c r="N14" s="6" t="b">
        <f t="shared" ref="N14:O17" si="7">ROUND(J14/L14,2)=ROUND($C$10/$C$9,2)</f>
        <v>1</v>
      </c>
      <c r="O14" s="6" t="b">
        <f t="shared" si="7"/>
        <v>1</v>
      </c>
      <c r="P14" s="4"/>
      <c r="Q14" s="4"/>
      <c r="R14" s="1"/>
      <c r="S14" s="4"/>
      <c r="T14" s="1"/>
    </row>
    <row r="15" spans="1:21" x14ac:dyDescent="0.25">
      <c r="A15">
        <f>Parameters!G7</f>
        <v>40</v>
      </c>
      <c r="B15">
        <f>Parameters!H7</f>
        <v>25</v>
      </c>
      <c r="C15">
        <f>Parameters!I7</f>
        <v>30</v>
      </c>
      <c r="D15">
        <f>Parameters!$B$11-$A15</f>
        <v>25</v>
      </c>
      <c r="E15" s="3">
        <f>$C15*(1+$C$5)^$D15</f>
        <v>101.59064822698157</v>
      </c>
      <c r="F15" s="3">
        <f t="shared" si="0"/>
        <v>171.21187990548313</v>
      </c>
      <c r="G15" s="3">
        <f t="shared" si="1"/>
        <v>115.40400851066464</v>
      </c>
      <c r="H15" s="3">
        <f>Parameters!$B$14*Scenario3!C15*(1+Scenario3!$C$4)*Scenario3!G15</f>
        <v>560.86348136183017</v>
      </c>
      <c r="I15" s="3">
        <f t="shared" si="2"/>
        <v>732.07536126731327</v>
      </c>
      <c r="J15" s="3">
        <f t="shared" si="3"/>
        <v>46.333883624513497</v>
      </c>
      <c r="K15" s="23">
        <f t="shared" si="4"/>
        <v>0.45608414192801294</v>
      </c>
      <c r="L15" s="3">
        <f t="shared" si="5"/>
        <v>48.817221358343453</v>
      </c>
      <c r="M15" s="23">
        <f t="shared" si="6"/>
        <v>0.48052869245673374</v>
      </c>
      <c r="N15" s="6" t="b">
        <f t="shared" si="7"/>
        <v>1</v>
      </c>
      <c r="O15" s="6" t="b">
        <f t="shared" si="7"/>
        <v>1</v>
      </c>
      <c r="P15" s="4"/>
      <c r="Q15" s="4"/>
      <c r="R15" s="1"/>
      <c r="S15" s="4"/>
      <c r="T15" s="1"/>
    </row>
    <row r="16" spans="1:21" x14ac:dyDescent="0.25">
      <c r="A16">
        <f>Parameters!G8</f>
        <v>50</v>
      </c>
      <c r="B16">
        <f>Parameters!H8</f>
        <v>50</v>
      </c>
      <c r="C16">
        <f>Parameters!I8</f>
        <v>35</v>
      </c>
      <c r="D16">
        <f>Parameters!$B$11-$A16</f>
        <v>15</v>
      </c>
      <c r="E16" s="3">
        <f>$C16*(1+$C$5)^$D16</f>
        <v>72.762486279397876</v>
      </c>
      <c r="F16" s="3">
        <f t="shared" si="0"/>
        <v>158.60845570991358</v>
      </c>
      <c r="G16" s="3">
        <f t="shared" si="1"/>
        <v>36.441364492896788</v>
      </c>
      <c r="H16" s="3">
        <f>Parameters!$B$14*Scenario3!C16*(1+Scenario3!$C$4)*Scenario3!G16</f>
        <v>206.62253667472478</v>
      </c>
      <c r="I16" s="3">
        <f t="shared" si="2"/>
        <v>365.2309923846384</v>
      </c>
      <c r="J16" s="3">
        <f t="shared" si="3"/>
        <v>23.115885593964453</v>
      </c>
      <c r="K16" s="23">
        <f t="shared" si="4"/>
        <v>0.31768960594890411</v>
      </c>
      <c r="L16" s="3">
        <f t="shared" si="5"/>
        <v>24.354818022154387</v>
      </c>
      <c r="M16" s="23">
        <f t="shared" si="6"/>
        <v>0.33471668255858184</v>
      </c>
      <c r="N16" s="6" t="b">
        <f t="shared" si="7"/>
        <v>1</v>
      </c>
      <c r="O16" s="6" t="b">
        <f t="shared" si="7"/>
        <v>1</v>
      </c>
      <c r="P16" s="4"/>
      <c r="Q16" s="4"/>
      <c r="R16" s="1"/>
      <c r="S16" s="4"/>
      <c r="T16" s="1"/>
    </row>
    <row r="17" spans="1:21" x14ac:dyDescent="0.25">
      <c r="A17">
        <f>Parameters!G9</f>
        <v>60</v>
      </c>
      <c r="B17">
        <f>Parameters!H9</f>
        <v>100</v>
      </c>
      <c r="C17">
        <f>Parameters!I9</f>
        <v>40</v>
      </c>
      <c r="D17">
        <f>Parameters!$B$11-$A17</f>
        <v>5</v>
      </c>
      <c r="E17" s="3">
        <f>$C17*(1+$C$5)^$D17</f>
        <v>51.051262500000007</v>
      </c>
      <c r="F17" s="3">
        <f t="shared" si="0"/>
        <v>146.93280768000002</v>
      </c>
      <c r="G17" s="3">
        <f t="shared" si="1"/>
        <v>6.4348838100000068</v>
      </c>
      <c r="H17" s="3">
        <f>Parameters!$B$14*Scenario3!C17*(1+Scenario3!$C$4)*Scenario3!G17</f>
        <v>41.698047088800045</v>
      </c>
      <c r="I17" s="3">
        <f t="shared" si="2"/>
        <v>188.63085476880008</v>
      </c>
      <c r="J17" s="3">
        <f t="shared" si="3"/>
        <v>11.938661694227852</v>
      </c>
      <c r="K17" s="23">
        <f t="shared" si="4"/>
        <v>0.23385634575105463</v>
      </c>
      <c r="L17" s="3">
        <f t="shared" si="5"/>
        <v>12.578533139431311</v>
      </c>
      <c r="M17" s="23">
        <f t="shared" si="6"/>
        <v>0.24639024626337711</v>
      </c>
      <c r="N17" s="6" t="b">
        <f t="shared" si="7"/>
        <v>1</v>
      </c>
      <c r="O17" s="6" t="b">
        <f t="shared" si="7"/>
        <v>1</v>
      </c>
      <c r="P17" s="4"/>
      <c r="Q17" s="4"/>
      <c r="R17" s="1"/>
      <c r="S17" s="4"/>
      <c r="T17" s="1"/>
    </row>
    <row r="18" spans="1:21" x14ac:dyDescent="0.25"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  <c r="Q18" s="4"/>
      <c r="R18" s="1"/>
      <c r="S18" s="4"/>
      <c r="T18" s="1"/>
    </row>
    <row r="19" spans="1:21" x14ac:dyDescent="0.25">
      <c r="A19" s="5"/>
      <c r="B19" s="5"/>
      <c r="C19" s="10" t="s">
        <v>15</v>
      </c>
      <c r="D19" s="20" t="str">
        <f>IF(AVERAGE(D13:D17)+AVERAGE(A13:A17)=Parameters!$B$11,"OK","Error!")</f>
        <v>OK</v>
      </c>
      <c r="E19" s="6"/>
      <c r="F19" s="20" t="str">
        <f>IF(AND(F13&lt;F14,F14&lt;F15,F15&lt;F16,F16&lt;F17),"OK","Error!")</f>
        <v>Error!</v>
      </c>
      <c r="G19" s="6"/>
      <c r="H19" s="20" t="str">
        <f>IF(AND(H13&gt;H14,H14&gt;H15,H15&gt;H16,H16&gt;H17),"OK","Error!")</f>
        <v>OK</v>
      </c>
      <c r="I19" s="6"/>
      <c r="J19" s="6"/>
      <c r="K19" s="6"/>
      <c r="L19" s="6"/>
      <c r="M19" s="6"/>
      <c r="N19" s="20"/>
      <c r="O19" s="20"/>
      <c r="P19" s="7"/>
      <c r="Q19" s="7"/>
      <c r="R19" s="8"/>
      <c r="S19" s="7"/>
      <c r="T19" s="8"/>
      <c r="U19" s="5"/>
    </row>
    <row r="20" spans="1:21" x14ac:dyDescent="0.25">
      <c r="F20" s="5" t="s">
        <v>38</v>
      </c>
    </row>
    <row r="21" spans="1:2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7"/>
      <c r="R21" s="8"/>
      <c r="S21" s="7"/>
      <c r="T21" s="8"/>
    </row>
  </sheetData>
  <mergeCells count="3">
    <mergeCell ref="J11:K11"/>
    <mergeCell ref="L11:M11"/>
    <mergeCell ref="N11:O11"/>
  </mergeCells>
  <pageMargins left="0.7" right="0.7" top="0.75" bottom="0.75" header="0.3" footer="0.3"/>
  <pageSetup paperSize="9" scale="76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9032-B646-441F-827F-30BE81376000}">
  <sheetPr>
    <tabColor rgb="FF92D050"/>
    <pageSetUpPr fitToPage="1"/>
  </sheetPr>
  <dimension ref="A1:U21"/>
  <sheetViews>
    <sheetView workbookViewId="0">
      <selection activeCell="P32" sqref="P32"/>
    </sheetView>
  </sheetViews>
  <sheetFormatPr defaultRowHeight="15" x14ac:dyDescent="0.25"/>
  <cols>
    <col min="1" max="1" width="8.85546875" customWidth="1"/>
    <col min="2" max="2" width="14" bestFit="1" customWidth="1"/>
    <col min="3" max="3" width="10.140625" bestFit="1" customWidth="1"/>
    <col min="4" max="4" width="13.7109375" customWidth="1"/>
    <col min="5" max="5" width="11.5703125" customWidth="1"/>
    <col min="6" max="6" width="15.28515625" customWidth="1"/>
    <col min="7" max="7" width="18.7109375" customWidth="1"/>
    <col min="8" max="8" width="28.28515625" customWidth="1"/>
    <col min="9" max="13" width="15.28515625" customWidth="1"/>
    <col min="14" max="14" width="9.85546875" bestFit="1" customWidth="1"/>
    <col min="15" max="15" width="15" bestFit="1" customWidth="1"/>
    <col min="16" max="16" width="10.140625" bestFit="1" customWidth="1"/>
    <col min="18" max="18" width="5.5703125" customWidth="1"/>
    <col min="19" max="19" width="10.140625" bestFit="1" customWidth="1"/>
    <col min="20" max="20" width="5.5703125" customWidth="1"/>
    <col min="23" max="23" width="15.7109375" bestFit="1" customWidth="1"/>
  </cols>
  <sheetData>
    <row r="1" spans="1:21" x14ac:dyDescent="0.25">
      <c r="A1" s="16" t="s">
        <v>52</v>
      </c>
      <c r="B1" s="16"/>
    </row>
    <row r="3" spans="1:21" x14ac:dyDescent="0.25">
      <c r="A3" s="9" t="s">
        <v>20</v>
      </c>
    </row>
    <row r="4" spans="1:21" x14ac:dyDescent="0.25">
      <c r="A4" t="s">
        <v>3</v>
      </c>
      <c r="C4" s="1">
        <f>Parameters!E5</f>
        <v>0.02</v>
      </c>
    </row>
    <row r="5" spans="1:21" x14ac:dyDescent="0.25">
      <c r="A5" t="s">
        <v>4</v>
      </c>
      <c r="C5" s="26">
        <f>Parameters!E6</f>
        <v>1.4999999999999999E-2</v>
      </c>
    </row>
    <row r="6" spans="1:21" x14ac:dyDescent="0.25">
      <c r="A6" t="s">
        <v>1</v>
      </c>
      <c r="C6" s="1">
        <f>Parameters!E7</f>
        <v>0.01</v>
      </c>
    </row>
    <row r="8" spans="1:21" x14ac:dyDescent="0.25">
      <c r="A8" s="9" t="s">
        <v>29</v>
      </c>
      <c r="D8" s="5" t="s">
        <v>15</v>
      </c>
    </row>
    <row r="9" spans="1:21" x14ac:dyDescent="0.25">
      <c r="A9" t="s">
        <v>5</v>
      </c>
      <c r="C9" s="17">
        <f>HLOOKUP(C6+1%,CleanData!$B$4:$E$7,4,FALSE)</f>
        <v>18.899999999999999</v>
      </c>
      <c r="D9" s="5" t="str">
        <f>IF(C9&gt;=Scenario1!C9,"OK","Error")</f>
        <v>OK</v>
      </c>
    </row>
    <row r="10" spans="1:21" x14ac:dyDescent="0.25">
      <c r="A10" t="s">
        <v>32</v>
      </c>
      <c r="C10" s="3">
        <f>(1+$C$4)*(1-((1+$C$4)/(1+$C$6))^(Parameters!$B$11-Parameters!$B$13))/($C$4-$C$6)</f>
        <v>22.268447187750414</v>
      </c>
      <c r="D10" s="5" t="str">
        <f>IF(C10&gt;=Scenario1!C10,"OK","Error")</f>
        <v>OK</v>
      </c>
    </row>
    <row r="11" spans="1:21" x14ac:dyDescent="0.25">
      <c r="J11" s="38" t="s">
        <v>6</v>
      </c>
      <c r="K11" s="38"/>
      <c r="L11" s="38" t="s">
        <v>7</v>
      </c>
      <c r="M11" s="38"/>
      <c r="N11" s="40" t="s">
        <v>35</v>
      </c>
      <c r="O11" s="40"/>
      <c r="P11" s="22"/>
    </row>
    <row r="12" spans="1:21" s="22" customFormat="1" ht="36" customHeight="1" x14ac:dyDescent="0.25">
      <c r="A12" s="21" t="s">
        <v>0</v>
      </c>
      <c r="B12" s="21" t="s">
        <v>58</v>
      </c>
      <c r="C12" s="21" t="s">
        <v>59</v>
      </c>
      <c r="D12" s="21" t="s">
        <v>31</v>
      </c>
      <c r="E12" s="21" t="s">
        <v>60</v>
      </c>
      <c r="F12" s="21" t="s">
        <v>61</v>
      </c>
      <c r="G12" s="21" t="s">
        <v>34</v>
      </c>
      <c r="H12" s="36" t="s">
        <v>62</v>
      </c>
      <c r="I12" s="21" t="s">
        <v>63</v>
      </c>
      <c r="J12" s="21" t="s">
        <v>64</v>
      </c>
      <c r="K12" s="21" t="s">
        <v>33</v>
      </c>
      <c r="L12" s="21" t="s">
        <v>64</v>
      </c>
      <c r="M12" s="21" t="s">
        <v>33</v>
      </c>
      <c r="N12" s="24" t="s">
        <v>36</v>
      </c>
      <c r="O12" s="24" t="s">
        <v>37</v>
      </c>
      <c r="P12" s="21"/>
      <c r="Q12" s="21"/>
      <c r="R12" s="21"/>
      <c r="S12" s="21"/>
      <c r="T12" s="21"/>
      <c r="U12" s="21"/>
    </row>
    <row r="13" spans="1:21" x14ac:dyDescent="0.25">
      <c r="A13">
        <f>Parameters!G5</f>
        <v>20</v>
      </c>
      <c r="B13">
        <f>Parameters!H5</f>
        <v>0</v>
      </c>
      <c r="C13">
        <f>Parameters!I5</f>
        <v>20</v>
      </c>
      <c r="D13">
        <f>Parameters!$B$11-$A13</f>
        <v>45</v>
      </c>
      <c r="E13" s="3">
        <f>$C13*(1+$C$5)^$D13</f>
        <v>39.084260288216768</v>
      </c>
      <c r="F13" s="3">
        <f>B13*(1+$C$4)^D13</f>
        <v>0</v>
      </c>
      <c r="G13" s="3">
        <f>((1+$C$4)^(D13)-(1+$C$5)^D13)/($C$4-$C$5)</f>
        <v>96.728238178100924</v>
      </c>
      <c r="H13" s="37">
        <f>Parameters!$B$14*Scenario4!C13*(1+Scenario4!$C$4)*Scenario4!G13</f>
        <v>295.98840882498882</v>
      </c>
      <c r="I13" s="3">
        <f>F13+H13</f>
        <v>295.98840882498882</v>
      </c>
      <c r="J13" s="3">
        <f>I13/$C$9</f>
        <v>15.660762371692531</v>
      </c>
      <c r="K13" s="23">
        <f>J13/E13</f>
        <v>0.40069230570583375</v>
      </c>
      <c r="L13" s="3">
        <f>I13/$C$10</f>
        <v>13.291829750383684</v>
      </c>
      <c r="M13" s="23">
        <f>L13/E13</f>
        <v>0.34008139471916632</v>
      </c>
      <c r="N13" s="6" t="b">
        <f>ROUND(J13/L13,2)=ROUND($C$10/$C$9,2)</f>
        <v>1</v>
      </c>
      <c r="O13" s="6" t="b">
        <f>ROUND(K13/M13,2)=ROUND($C$10/$C$9,2)</f>
        <v>1</v>
      </c>
      <c r="P13" s="4"/>
      <c r="Q13" s="4"/>
      <c r="R13" s="1"/>
      <c r="S13" s="4"/>
      <c r="T13" s="1"/>
    </row>
    <row r="14" spans="1:21" x14ac:dyDescent="0.25">
      <c r="A14">
        <f>Parameters!G6</f>
        <v>30</v>
      </c>
      <c r="B14">
        <f>Parameters!H6</f>
        <v>10</v>
      </c>
      <c r="C14">
        <f>Parameters!I6</f>
        <v>25</v>
      </c>
      <c r="D14">
        <f>Parameters!$B$11-$A14</f>
        <v>35</v>
      </c>
      <c r="E14" s="3">
        <f>$C14*(1+$C$5)^$D14</f>
        <v>42.097032958071324</v>
      </c>
      <c r="F14" s="3">
        <f t="shared" ref="F14:F17" si="0">B14*(1+$C$4)^D14</f>
        <v>19.998895526624548</v>
      </c>
      <c r="G14" s="3">
        <f t="shared" ref="G14:G17" si="1">((1+$C$4)^(D14)-(1+$C$5)^D14)/($C$4-$C$5)</f>
        <v>63.201646867920346</v>
      </c>
      <c r="H14" s="37">
        <f>Parameters!$B$14*Scenario4!C14*(1+Scenario4!$C$4)*Scenario4!G14</f>
        <v>241.74629926979534</v>
      </c>
      <c r="I14" s="3">
        <f t="shared" ref="I14:I17" si="2">F14+H14</f>
        <v>261.74519479641987</v>
      </c>
      <c r="J14" s="3">
        <f t="shared" ref="J14:J17" si="3">I14/$C$9</f>
        <v>13.848952105630682</v>
      </c>
      <c r="K14" s="23">
        <f t="shared" ref="K14:K17" si="4">J14/E14</f>
        <v>0.32897691672057383</v>
      </c>
      <c r="L14" s="3">
        <f>I14/$C$10</f>
        <v>11.754083820465151</v>
      </c>
      <c r="M14" s="23">
        <f>L14/E14</f>
        <v>0.27921406794089804</v>
      </c>
      <c r="N14" s="6" t="b">
        <f t="shared" ref="N14:O17" si="5">ROUND(J14/L14,2)=ROUND($C$10/$C$9,2)</f>
        <v>1</v>
      </c>
      <c r="O14" s="6" t="b">
        <f t="shared" si="5"/>
        <v>1</v>
      </c>
      <c r="P14" s="4"/>
      <c r="Q14" s="4"/>
      <c r="R14" s="1"/>
      <c r="S14" s="4"/>
      <c r="T14" s="1"/>
    </row>
    <row r="15" spans="1:21" x14ac:dyDescent="0.25">
      <c r="A15">
        <f>Parameters!G7</f>
        <v>40</v>
      </c>
      <c r="B15">
        <f>Parameters!H7</f>
        <v>25</v>
      </c>
      <c r="C15">
        <f>Parameters!I7</f>
        <v>30</v>
      </c>
      <c r="D15">
        <f>Parameters!$B$11-$A15</f>
        <v>25</v>
      </c>
      <c r="E15" s="3">
        <f>$C15*(1+$C$5)^$D15</f>
        <v>43.528360623238669</v>
      </c>
      <c r="F15" s="3">
        <f t="shared" si="0"/>
        <v>41.015149861618241</v>
      </c>
      <c r="G15" s="3">
        <f t="shared" si="1"/>
        <v>37.932128071354789</v>
      </c>
      <c r="H15" s="37">
        <f>Parameters!$B$14*Scenario4!C15*(1+Scenario4!$C$4)*Scenario4!G15</f>
        <v>174.10846784751848</v>
      </c>
      <c r="I15" s="3">
        <f t="shared" si="2"/>
        <v>215.12361770913674</v>
      </c>
      <c r="J15" s="3">
        <f t="shared" si="3"/>
        <v>11.382201995192421</v>
      </c>
      <c r="K15" s="23">
        <f t="shared" si="4"/>
        <v>0.26148933321223583</v>
      </c>
      <c r="L15" s="3">
        <f>I15/$C$10</f>
        <v>9.6604678312492958</v>
      </c>
      <c r="M15" s="23">
        <f>L15/E15</f>
        <v>0.2219350256460571</v>
      </c>
      <c r="N15" s="6" t="b">
        <f t="shared" si="5"/>
        <v>1</v>
      </c>
      <c r="O15" s="6" t="b">
        <f t="shared" si="5"/>
        <v>1</v>
      </c>
      <c r="P15" s="4"/>
      <c r="Q15" s="4"/>
      <c r="R15" s="1"/>
      <c r="S15" s="4"/>
      <c r="T15" s="1"/>
    </row>
    <row r="16" spans="1:21" x14ac:dyDescent="0.25">
      <c r="A16">
        <f>Parameters!G8</f>
        <v>50</v>
      </c>
      <c r="B16">
        <f>Parameters!H8</f>
        <v>50</v>
      </c>
      <c r="C16">
        <f>Parameters!I8</f>
        <v>35</v>
      </c>
      <c r="D16">
        <f>Parameters!$B$11-$A16</f>
        <v>15</v>
      </c>
      <c r="E16" s="3">
        <f>$C16*(1+$C$5)^$D16</f>
        <v>43.758122332902843</v>
      </c>
      <c r="F16" s="3">
        <f t="shared" si="0"/>
        <v>67.293416916206468</v>
      </c>
      <c r="G16" s="3">
        <f t="shared" si="1"/>
        <v>19.127254333952454</v>
      </c>
      <c r="H16" s="37">
        <f>Parameters!$B$14*Scenario4!C16*(1+Scenario4!$C$4)*Scenario4!G16</f>
        <v>102.4264469583154</v>
      </c>
      <c r="I16" s="3">
        <f t="shared" si="2"/>
        <v>169.71986387452188</v>
      </c>
      <c r="J16" s="3">
        <f t="shared" si="3"/>
        <v>8.9798869774879311</v>
      </c>
      <c r="K16" s="23">
        <f t="shared" si="4"/>
        <v>0.2052164603675356</v>
      </c>
      <c r="L16" s="3">
        <f>I16/$C$10</f>
        <v>7.6215401300133125</v>
      </c>
      <c r="M16" s="23">
        <f>L16/E16</f>
        <v>0.17417429550633354</v>
      </c>
      <c r="N16" s="6" t="b">
        <f t="shared" si="5"/>
        <v>1</v>
      </c>
      <c r="O16" s="6" t="b">
        <f t="shared" si="5"/>
        <v>1</v>
      </c>
      <c r="P16" s="4"/>
      <c r="Q16" s="4"/>
      <c r="R16" s="1"/>
      <c r="S16" s="4"/>
      <c r="T16" s="1"/>
    </row>
    <row r="17" spans="1:21" x14ac:dyDescent="0.25">
      <c r="A17">
        <f>Parameters!G9</f>
        <v>60</v>
      </c>
      <c r="B17">
        <f>Parameters!H9</f>
        <v>100</v>
      </c>
      <c r="C17">
        <f>Parameters!I9</f>
        <v>40</v>
      </c>
      <c r="D17">
        <f>Parameters!$B$11-$A17</f>
        <v>5</v>
      </c>
      <c r="E17" s="3">
        <f>$C17*(1+$C$5)^$D17</f>
        <v>43.091360155374971</v>
      </c>
      <c r="F17" s="3">
        <f t="shared" si="0"/>
        <v>110.40808032</v>
      </c>
      <c r="G17" s="3">
        <f t="shared" si="1"/>
        <v>5.3593598631251451</v>
      </c>
      <c r="H17" s="37">
        <f>Parameters!$B$14*Scenario4!C17*(1+Scenario4!$C$4)*Scenario4!G17</f>
        <v>32.79928236232589</v>
      </c>
      <c r="I17" s="3">
        <f t="shared" si="2"/>
        <v>143.20736268232588</v>
      </c>
      <c r="J17" s="3">
        <f t="shared" si="3"/>
        <v>7.5771091366309991</v>
      </c>
      <c r="K17" s="23">
        <f t="shared" si="4"/>
        <v>0.17583824482007848</v>
      </c>
      <c r="L17" s="3">
        <f>I17/$C$10</f>
        <v>6.4309541421955281</v>
      </c>
      <c r="M17" s="23">
        <f>L17/E17</f>
        <v>0.14923998961757923</v>
      </c>
      <c r="N17" s="6" t="b">
        <f t="shared" si="5"/>
        <v>1</v>
      </c>
      <c r="O17" s="6" t="b">
        <f t="shared" si="5"/>
        <v>1</v>
      </c>
      <c r="P17" s="4"/>
      <c r="Q17" s="4"/>
      <c r="R17" s="1"/>
      <c r="S17" s="4"/>
      <c r="T17" s="1"/>
    </row>
    <row r="18" spans="1:21" x14ac:dyDescent="0.25"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  <c r="Q18" s="4"/>
      <c r="R18" s="1"/>
      <c r="S18" s="4"/>
      <c r="T18" s="1"/>
    </row>
    <row r="19" spans="1:21" x14ac:dyDescent="0.25">
      <c r="A19" s="5"/>
      <c r="B19" s="5"/>
      <c r="C19" s="10" t="s">
        <v>15</v>
      </c>
      <c r="D19" s="20" t="str">
        <f>IF(AVERAGE(D13:D17)+AVERAGE(A13:A17)=Parameters!$B$11,"OK","Error!")</f>
        <v>OK</v>
      </c>
      <c r="E19" s="6"/>
      <c r="F19" s="20" t="str">
        <f>IF(AND(F13&lt;F14,F14&lt;F15,F15&lt;F16,F16&lt;F17),"OK","Error!")</f>
        <v>OK</v>
      </c>
      <c r="G19" s="6"/>
      <c r="H19" s="20" t="str">
        <f>IF(AND(H13&gt;H14,H14&gt;H15,H15&gt;H16,H16&gt;H17),"OK","Error!")</f>
        <v>OK</v>
      </c>
      <c r="I19" s="6"/>
      <c r="J19" s="6"/>
      <c r="K19" s="6"/>
      <c r="L19" s="6"/>
      <c r="M19" s="6"/>
      <c r="N19" s="20"/>
      <c r="O19" s="20"/>
      <c r="P19" s="7"/>
      <c r="Q19" s="7"/>
      <c r="R19" s="8"/>
      <c r="S19" s="7"/>
      <c r="T19" s="8"/>
      <c r="U19" s="5"/>
    </row>
    <row r="21" spans="1:2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7"/>
      <c r="R21" s="8"/>
      <c r="S21" s="7"/>
      <c r="T21" s="8"/>
    </row>
  </sheetData>
  <mergeCells count="3">
    <mergeCell ref="J11:K11"/>
    <mergeCell ref="L11:M11"/>
    <mergeCell ref="N11:O11"/>
  </mergeCells>
  <pageMargins left="0.7" right="0.7" top="0.75" bottom="0.75" header="0.3" footer="0.3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93D4-ECD8-48CC-B0A8-26A271682F4E}">
  <sheetPr>
    <tabColor rgb="FF92D050"/>
    <pageSetUpPr fitToPage="1"/>
  </sheetPr>
  <dimension ref="A1:U21"/>
  <sheetViews>
    <sheetView topLeftCell="H1" workbookViewId="0">
      <selection activeCell="P32" sqref="P32"/>
    </sheetView>
  </sheetViews>
  <sheetFormatPr defaultRowHeight="15" x14ac:dyDescent="0.25"/>
  <cols>
    <col min="1" max="1" width="8.85546875" customWidth="1"/>
    <col min="2" max="2" width="14" bestFit="1" customWidth="1"/>
    <col min="3" max="3" width="10.140625" bestFit="1" customWidth="1"/>
    <col min="4" max="4" width="13.7109375" customWidth="1"/>
    <col min="5" max="5" width="11.5703125" customWidth="1"/>
    <col min="6" max="6" width="15.28515625" customWidth="1"/>
    <col min="7" max="7" width="18.7109375" customWidth="1"/>
    <col min="8" max="8" width="28.28515625" customWidth="1"/>
    <col min="9" max="13" width="15.28515625" customWidth="1"/>
    <col min="14" max="14" width="9.85546875" bestFit="1" customWidth="1"/>
    <col min="15" max="15" width="15" bestFit="1" customWidth="1"/>
    <col min="16" max="16" width="12.5703125" bestFit="1" customWidth="1"/>
    <col min="18" max="18" width="5.5703125" customWidth="1"/>
    <col min="19" max="19" width="10.140625" bestFit="1" customWidth="1"/>
    <col min="20" max="20" width="5.5703125" customWidth="1"/>
    <col min="23" max="23" width="15.7109375" bestFit="1" customWidth="1"/>
  </cols>
  <sheetData>
    <row r="1" spans="1:21" x14ac:dyDescent="0.25">
      <c r="A1" s="16" t="s">
        <v>55</v>
      </c>
      <c r="B1" s="16"/>
    </row>
    <row r="3" spans="1:21" x14ac:dyDescent="0.25">
      <c r="A3" s="9" t="s">
        <v>20</v>
      </c>
    </row>
    <row r="4" spans="1:21" x14ac:dyDescent="0.25">
      <c r="A4" t="s">
        <v>3</v>
      </c>
      <c r="C4" s="1">
        <f>Parameters!E5</f>
        <v>0.02</v>
      </c>
    </row>
    <row r="5" spans="1:21" x14ac:dyDescent="0.25">
      <c r="A5" t="s">
        <v>4</v>
      </c>
      <c r="C5" s="26">
        <f>Parameters!E6</f>
        <v>1.4999999999999999E-2</v>
      </c>
    </row>
    <row r="6" spans="1:21" x14ac:dyDescent="0.25">
      <c r="A6" t="s">
        <v>1</v>
      </c>
      <c r="C6" s="1">
        <f>Parameters!E7</f>
        <v>0.01</v>
      </c>
    </row>
    <row r="8" spans="1:21" x14ac:dyDescent="0.25">
      <c r="A8" s="9" t="s">
        <v>29</v>
      </c>
    </row>
    <row r="9" spans="1:21" x14ac:dyDescent="0.25">
      <c r="A9" t="s">
        <v>5</v>
      </c>
      <c r="C9" s="17">
        <f>HLOOKUP(C6+1%,CleanData!$B$4:$E$7,4,FALSE)</f>
        <v>18.899999999999999</v>
      </c>
    </row>
    <row r="10" spans="1:21" x14ac:dyDescent="0.25">
      <c r="A10" t="s">
        <v>32</v>
      </c>
      <c r="C10" s="3">
        <f>(1+$C$4)*(1-((1+$C$4)/(1+$C$6))^(Parameters!$B$11-Parameters!$B$13))/($C$4-$C$6)</f>
        <v>22.268447187750414</v>
      </c>
    </row>
    <row r="11" spans="1:21" x14ac:dyDescent="0.25">
      <c r="J11" s="38" t="s">
        <v>6</v>
      </c>
      <c r="K11" s="38"/>
      <c r="L11" s="38" t="s">
        <v>7</v>
      </c>
      <c r="M11" s="38"/>
      <c r="N11" s="39" t="s">
        <v>35</v>
      </c>
      <c r="O11" s="39"/>
      <c r="P11" s="39"/>
    </row>
    <row r="12" spans="1:21" s="22" customFormat="1" ht="36" customHeight="1" x14ac:dyDescent="0.25">
      <c r="A12" s="21" t="s">
        <v>0</v>
      </c>
      <c r="B12" s="21" t="s">
        <v>58</v>
      </c>
      <c r="C12" s="21" t="s">
        <v>59</v>
      </c>
      <c r="D12" s="21" t="s">
        <v>31</v>
      </c>
      <c r="E12" s="21" t="s">
        <v>60</v>
      </c>
      <c r="F12" s="21" t="s">
        <v>61</v>
      </c>
      <c r="G12" s="21" t="s">
        <v>34</v>
      </c>
      <c r="H12" s="28" t="s">
        <v>62</v>
      </c>
      <c r="I12" s="21" t="s">
        <v>63</v>
      </c>
      <c r="J12" s="21" t="s">
        <v>64</v>
      </c>
      <c r="K12" s="21" t="s">
        <v>33</v>
      </c>
      <c r="L12" s="21" t="s">
        <v>64</v>
      </c>
      <c r="M12" s="21" t="s">
        <v>33</v>
      </c>
      <c r="N12" s="24" t="s">
        <v>36</v>
      </c>
      <c r="O12" s="24" t="s">
        <v>37</v>
      </c>
      <c r="P12" s="30" t="s">
        <v>51</v>
      </c>
      <c r="Q12" s="21"/>
      <c r="R12" s="21"/>
      <c r="S12" s="21"/>
      <c r="T12" s="21"/>
      <c r="U12" s="21"/>
    </row>
    <row r="13" spans="1:21" x14ac:dyDescent="0.25">
      <c r="A13">
        <f>Parameters!G5</f>
        <v>20</v>
      </c>
      <c r="B13">
        <f>Parameters!H5</f>
        <v>0</v>
      </c>
      <c r="C13">
        <f>Parameters!I5</f>
        <v>20</v>
      </c>
      <c r="D13">
        <f>Parameters!$B$11-$A13</f>
        <v>45</v>
      </c>
      <c r="E13" s="3">
        <f>$C13*(1+$C$5)^$D13</f>
        <v>39.084260288216768</v>
      </c>
      <c r="F13" s="3">
        <f>B13*(1+$C$4)^D13</f>
        <v>0</v>
      </c>
      <c r="G13" s="3">
        <f>((1+$C$4)^(D13)-(1+$C$5)^D13)/($C$4-$C$5)</f>
        <v>96.728238178100924</v>
      </c>
      <c r="H13" s="29">
        <f>Parameters!$B$15*'Scenario4 (cont)'!C13*(1+'Scenario4 (cont)'!$C$4)*'Scenario4 (cont)'!G13</f>
        <v>197.32560588332589</v>
      </c>
      <c r="I13" s="3">
        <f>F13+H13</f>
        <v>197.32560588332589</v>
      </c>
      <c r="J13" s="3">
        <f>I13/$C$9</f>
        <v>10.440508247795021</v>
      </c>
      <c r="K13" s="23">
        <f>J13/E13</f>
        <v>0.26712820380388919</v>
      </c>
      <c r="L13" s="3">
        <f>I13/$C$10</f>
        <v>8.8612198335891232</v>
      </c>
      <c r="M13" s="23">
        <f>L13/E13</f>
        <v>0.22672092981277756</v>
      </c>
      <c r="N13" s="6" t="b">
        <f>ROUND(J13/L13,2)=ROUND($C$10/$C$9,2)</f>
        <v>1</v>
      </c>
      <c r="O13" s="6" t="b">
        <f>ROUND(K13/M13,2)=ROUND($C$10/$C$9,2)</f>
        <v>1</v>
      </c>
      <c r="P13" s="31" t="b">
        <f>AND(K13&lt;Scenario4!K13,'Scenario4 (cont)'!M13&lt;Scenario4!M13)</f>
        <v>1</v>
      </c>
      <c r="Q13" s="4"/>
      <c r="R13" s="1"/>
      <c r="S13" s="4"/>
      <c r="T13" s="1"/>
    </row>
    <row r="14" spans="1:21" x14ac:dyDescent="0.25">
      <c r="A14">
        <f>Parameters!G6</f>
        <v>30</v>
      </c>
      <c r="B14">
        <f>Parameters!H6</f>
        <v>10</v>
      </c>
      <c r="C14">
        <f>Parameters!I6</f>
        <v>25</v>
      </c>
      <c r="D14">
        <f>Parameters!$B$11-$A14</f>
        <v>35</v>
      </c>
      <c r="E14" s="3">
        <f>$C14*(1+$C$5)^$D14</f>
        <v>42.097032958071324</v>
      </c>
      <c r="F14" s="3">
        <f t="shared" ref="F14:F17" si="0">B14*(1+$C$4)^D14</f>
        <v>19.998895526624548</v>
      </c>
      <c r="G14" s="3">
        <f t="shared" ref="G14:G17" si="1">((1+$C$4)^(D14)-(1+$C$5)^D14)/($C$4-$C$5)</f>
        <v>63.201646867920346</v>
      </c>
      <c r="H14" s="29">
        <f>Parameters!$B$15*'Scenario4 (cont)'!C14*(1+'Scenario4 (cont)'!$C$4)*'Scenario4 (cont)'!G14</f>
        <v>161.16419951319688</v>
      </c>
      <c r="I14" s="3">
        <f t="shared" ref="I14:I17" si="2">F14+H14</f>
        <v>181.16309503982143</v>
      </c>
      <c r="J14" s="3">
        <f t="shared" ref="J14:J17" si="3">I14/$C$9</f>
        <v>9.5853489439058972</v>
      </c>
      <c r="K14" s="23">
        <f t="shared" ref="K14:K17" si="4">J14/E14</f>
        <v>0.22769654463422426</v>
      </c>
      <c r="L14" s="3">
        <f>I14/$C$10</f>
        <v>8.1354166059444371</v>
      </c>
      <c r="M14" s="23">
        <f>L14/E14</f>
        <v>0.19325391920250812</v>
      </c>
      <c r="N14" s="6" t="b">
        <f t="shared" ref="N14:O17" si="5">ROUND(J14/L14,2)=ROUND($C$10/$C$9,2)</f>
        <v>1</v>
      </c>
      <c r="O14" s="6" t="b">
        <f t="shared" si="5"/>
        <v>1</v>
      </c>
      <c r="P14" s="31" t="b">
        <f>AND(K14&lt;Scenario4!K14,'Scenario4 (cont)'!M14&lt;Scenario4!M14)</f>
        <v>1</v>
      </c>
      <c r="Q14" s="4"/>
      <c r="R14" s="1"/>
      <c r="S14" s="4"/>
      <c r="T14" s="1"/>
    </row>
    <row r="15" spans="1:21" x14ac:dyDescent="0.25">
      <c r="A15">
        <f>Parameters!G7</f>
        <v>40</v>
      </c>
      <c r="B15">
        <f>Parameters!H7</f>
        <v>25</v>
      </c>
      <c r="C15">
        <f>Parameters!I7</f>
        <v>30</v>
      </c>
      <c r="D15">
        <f>Parameters!$B$11-$A15</f>
        <v>25</v>
      </c>
      <c r="E15" s="3">
        <f>$C15*(1+$C$5)^$D15</f>
        <v>43.528360623238669</v>
      </c>
      <c r="F15" s="3">
        <f t="shared" si="0"/>
        <v>41.015149861618241</v>
      </c>
      <c r="G15" s="3">
        <f t="shared" si="1"/>
        <v>37.932128071354789</v>
      </c>
      <c r="H15" s="29">
        <f>Parameters!$B$15*'Scenario4 (cont)'!C15*(1+'Scenario4 (cont)'!$C$4)*'Scenario4 (cont)'!G15</f>
        <v>116.07231189834566</v>
      </c>
      <c r="I15" s="3">
        <f t="shared" si="2"/>
        <v>157.0874617599639</v>
      </c>
      <c r="J15" s="3">
        <f t="shared" si="3"/>
        <v>8.3115059132256039</v>
      </c>
      <c r="K15" s="23">
        <f t="shared" si="4"/>
        <v>0.19094461161002937</v>
      </c>
      <c r="L15" s="3">
        <f>I15/$C$10</f>
        <v>7.0542620433083316</v>
      </c>
      <c r="M15" s="23">
        <f>L15/E15</f>
        <v>0.16206128469589648</v>
      </c>
      <c r="N15" s="6" t="b">
        <f t="shared" si="5"/>
        <v>1</v>
      </c>
      <c r="O15" s="6" t="b">
        <f t="shared" si="5"/>
        <v>1</v>
      </c>
      <c r="P15" s="31" t="b">
        <f>AND(K15&lt;Scenario4!K15,'Scenario4 (cont)'!M15&lt;Scenario4!M15)</f>
        <v>1</v>
      </c>
      <c r="Q15" s="4"/>
      <c r="R15" s="1"/>
      <c r="S15" s="4"/>
      <c r="T15" s="1"/>
    </row>
    <row r="16" spans="1:21" x14ac:dyDescent="0.25">
      <c r="A16">
        <f>Parameters!G8</f>
        <v>50</v>
      </c>
      <c r="B16">
        <f>Parameters!H8</f>
        <v>50</v>
      </c>
      <c r="C16">
        <f>Parameters!I8</f>
        <v>35</v>
      </c>
      <c r="D16">
        <f>Parameters!$B$11-$A16</f>
        <v>15</v>
      </c>
      <c r="E16" s="3">
        <f>$C16*(1+$C$5)^$D16</f>
        <v>43.758122332902843</v>
      </c>
      <c r="F16" s="3">
        <f t="shared" si="0"/>
        <v>67.293416916206468</v>
      </c>
      <c r="G16" s="3">
        <f t="shared" si="1"/>
        <v>19.127254333952454</v>
      </c>
      <c r="H16" s="29">
        <f>Parameters!$B$15*'Scenario4 (cont)'!C16*(1+'Scenario4 (cont)'!$C$4)*'Scenario4 (cont)'!G16</f>
        <v>68.284297972210268</v>
      </c>
      <c r="I16" s="3">
        <f t="shared" si="2"/>
        <v>135.57771488841672</v>
      </c>
      <c r="J16" s="3">
        <f t="shared" si="3"/>
        <v>7.1734240681701973</v>
      </c>
      <c r="K16" s="23">
        <f t="shared" si="4"/>
        <v>0.16393354389377712</v>
      </c>
      <c r="L16" s="3">
        <f>I16/$C$10</f>
        <v>6.0883326863938798</v>
      </c>
      <c r="M16" s="23">
        <f>L16/E16</f>
        <v>0.13913605890296413</v>
      </c>
      <c r="N16" s="6" t="b">
        <f t="shared" si="5"/>
        <v>1</v>
      </c>
      <c r="O16" s="6" t="b">
        <f t="shared" si="5"/>
        <v>1</v>
      </c>
      <c r="P16" s="31" t="b">
        <f>AND(K16&lt;Scenario4!K16,'Scenario4 (cont)'!M16&lt;Scenario4!M16)</f>
        <v>1</v>
      </c>
      <c r="Q16" s="4"/>
      <c r="R16" s="1"/>
      <c r="S16" s="4"/>
      <c r="T16" s="1"/>
    </row>
    <row r="17" spans="1:21" x14ac:dyDescent="0.25">
      <c r="A17">
        <f>Parameters!G9</f>
        <v>60</v>
      </c>
      <c r="B17">
        <f>Parameters!H9</f>
        <v>100</v>
      </c>
      <c r="C17">
        <f>Parameters!I9</f>
        <v>40</v>
      </c>
      <c r="D17">
        <f>Parameters!$B$11-$A17</f>
        <v>5</v>
      </c>
      <c r="E17" s="3">
        <f>$C17*(1+$C$5)^$D17</f>
        <v>43.091360155374971</v>
      </c>
      <c r="F17" s="3">
        <f t="shared" si="0"/>
        <v>110.40808032</v>
      </c>
      <c r="G17" s="3">
        <f t="shared" si="1"/>
        <v>5.3593598631251451</v>
      </c>
      <c r="H17" s="29">
        <f>Parameters!$B$15*'Scenario4 (cont)'!C17*(1+'Scenario4 (cont)'!$C$4)*'Scenario4 (cont)'!G17</f>
        <v>21.866188241550592</v>
      </c>
      <c r="I17" s="3">
        <f t="shared" si="2"/>
        <v>132.2742685615506</v>
      </c>
      <c r="J17" s="3">
        <f t="shared" si="3"/>
        <v>6.9986385482301907</v>
      </c>
      <c r="K17" s="23">
        <f t="shared" si="4"/>
        <v>0.1624139624044153</v>
      </c>
      <c r="L17" s="3">
        <f>I17/$C$10</f>
        <v>5.9399861807298793</v>
      </c>
      <c r="M17" s="23">
        <f>L17/E17</f>
        <v>0.13784633762573306</v>
      </c>
      <c r="N17" s="6" t="b">
        <f t="shared" si="5"/>
        <v>1</v>
      </c>
      <c r="O17" s="6" t="b">
        <f t="shared" si="5"/>
        <v>1</v>
      </c>
      <c r="P17" s="31" t="b">
        <f>AND(K17&lt;Scenario4!K17,'Scenario4 (cont)'!M17&lt;Scenario4!M17)</f>
        <v>1</v>
      </c>
      <c r="Q17" s="4"/>
      <c r="R17" s="1"/>
      <c r="S17" s="4"/>
      <c r="T17" s="1"/>
    </row>
    <row r="18" spans="1:21" x14ac:dyDescent="0.25"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  <c r="Q18" s="4"/>
      <c r="R18" s="1"/>
      <c r="S18" s="4"/>
      <c r="T18" s="1"/>
    </row>
    <row r="19" spans="1:21" x14ac:dyDescent="0.25">
      <c r="A19" s="5"/>
      <c r="B19" s="5"/>
      <c r="C19" s="10" t="s">
        <v>15</v>
      </c>
      <c r="D19" s="20" t="str">
        <f>IF(AVERAGE(D13:D17)+AVERAGE(A13:A17)=Parameters!$B$11,"OK","Error!")</f>
        <v>OK</v>
      </c>
      <c r="E19" s="6"/>
      <c r="F19" s="20" t="str">
        <f>IF(AND(F13&lt;F14,F14&lt;F15,F15&lt;F16,F16&lt;F17),"OK","Error!")</f>
        <v>OK</v>
      </c>
      <c r="G19" s="6"/>
      <c r="H19" s="20" t="str">
        <f>IF(AND(H13&gt;H14,H14&gt;H15,H15&gt;H16,H16&gt;H17),"OK","Error!")</f>
        <v>OK</v>
      </c>
      <c r="I19" s="6"/>
      <c r="J19" s="6"/>
      <c r="K19" s="6"/>
      <c r="L19" s="6"/>
      <c r="M19" s="6"/>
      <c r="N19" s="20"/>
      <c r="O19" s="20"/>
      <c r="P19" s="7"/>
      <c r="Q19" s="7"/>
      <c r="R19" s="8"/>
      <c r="S19" s="7"/>
      <c r="T19" s="8"/>
      <c r="U19" s="5"/>
    </row>
    <row r="21" spans="1:2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7"/>
      <c r="R21" s="8"/>
      <c r="S21" s="7"/>
      <c r="T21" s="8"/>
    </row>
  </sheetData>
  <mergeCells count="3">
    <mergeCell ref="J11:K11"/>
    <mergeCell ref="L11:M11"/>
    <mergeCell ref="N11:P11"/>
  </mergeCells>
  <pageMargins left="0.7" right="0.7" top="0.75" bottom="0.75" header="0.3" footer="0.3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538e9-c694-450b-9056-83c8e7b681d1">
      <Terms xmlns="http://schemas.microsoft.com/office/infopath/2007/PartnerControls"/>
    </lcf76f155ced4ddcb4097134ff3c332f>
    <TaxCatchAll xmlns="80348ba6-adcc-40fb-8576-6b95a36a30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43C60E4A30943911717CC463D6A41" ma:contentTypeVersion="18" ma:contentTypeDescription="Create a new document." ma:contentTypeScope="" ma:versionID="b08e20e0e103d3365380b6bf0cb7795e">
  <xsd:schema xmlns:xsd="http://www.w3.org/2001/XMLSchema" xmlns:xs="http://www.w3.org/2001/XMLSchema" xmlns:p="http://schemas.microsoft.com/office/2006/metadata/properties" xmlns:ns2="051538e9-c694-450b-9056-83c8e7b681d1" xmlns:ns3="80348ba6-adcc-40fb-8576-6b95a36a3021" targetNamespace="http://schemas.microsoft.com/office/2006/metadata/properties" ma:root="true" ma:fieldsID="4161753d28f9dc3453ace73f600077b4" ns2:_="" ns3:_="">
    <xsd:import namespace="051538e9-c694-450b-9056-83c8e7b681d1"/>
    <xsd:import namespace="80348ba6-adcc-40fb-8576-6b95a36a3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538e9-c694-450b-9056-83c8e7b68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2764dbc-7309-45b3-8ffb-b5aa3fc55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48ba6-adcc-40fb-8576-6b95a36a3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02aea5-70a3-4309-a075-81a717f4eae1}" ma:internalName="TaxCatchAll" ma:showField="CatchAllData" ma:web="80348ba6-adcc-40fb-8576-6b95a36a3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3B329-F61C-422F-BEFC-3A872BECE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2A2F23-F3E7-4162-907C-0C891A2C233D}">
  <ds:schemaRefs>
    <ds:schemaRef ds:uri="http://schemas.microsoft.com/office/2006/documentManagement/types"/>
    <ds:schemaRef ds:uri="http://purl.org/dc/terms/"/>
    <ds:schemaRef ds:uri="051538e9-c694-450b-9056-83c8e7b681d1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0348ba6-adcc-40fb-8576-6b95a36a3021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F9E55A-5E39-45AD-8A77-174D059935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RawData (corrected)</vt:lpstr>
      <vt:lpstr>CleanData</vt:lpstr>
      <vt:lpstr>Parameters</vt:lpstr>
      <vt:lpstr>Scenario1</vt:lpstr>
      <vt:lpstr>Scenario2</vt:lpstr>
      <vt:lpstr>Scenario2 (ret age)</vt:lpstr>
      <vt:lpstr>Scenario3</vt:lpstr>
      <vt:lpstr>Scenario4</vt:lpstr>
      <vt:lpstr>Scenario4 (cont)</vt:lpstr>
      <vt:lpstr>Table</vt:lpstr>
      <vt:lpstr>Graphs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Sarah Byrne</cp:lastModifiedBy>
  <cp:lastPrinted>2014-11-11T17:29:21Z</cp:lastPrinted>
  <dcterms:created xsi:type="dcterms:W3CDTF">2014-09-04T09:09:23Z</dcterms:created>
  <dcterms:modified xsi:type="dcterms:W3CDTF">2022-04-27T14:56:20Z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0x010100BDC43C60E4A30943911717CC463D6A41</vt:lpwstr>
  </property>
  <property fmtid="{D5CDD505-2E9C-101B-9397-08002B2CF9AE}" pid="3" name="MediaServiceImageTags">
    <vt:lpwstr/>
  </property>
</Properties>
</file>